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'A'!$B$7:$F$515</definedName>
    <definedName name="_xlnm.Print_Titles" localSheetId="0">'A'!$A:$A,'A'!$1:$6</definedName>
  </definedNames>
  <calcPr fullCalcOnLoad="1"/>
</workbook>
</file>

<file path=xl/sharedStrings.xml><?xml version="1.0" encoding="utf-8"?>
<sst xmlns="http://schemas.openxmlformats.org/spreadsheetml/2006/main" count="458" uniqueCount="203">
  <si>
    <t>WASATCH COUNTY SCHOOL DISTRICT</t>
  </si>
  <si>
    <t>GENERAL FUND</t>
  </si>
  <si>
    <t>REVENUES:</t>
  </si>
  <si>
    <t>Local Revenue:</t>
  </si>
  <si>
    <t>Tax Proceeds:</t>
  </si>
  <si>
    <t xml:space="preserve">  Basic Program</t>
  </si>
  <si>
    <t xml:space="preserve">  Voted/Board Leeway</t>
  </si>
  <si>
    <t xml:space="preserve">    Total Tax Proceeds</t>
  </si>
  <si>
    <t>Fees/Other Local:</t>
  </si>
  <si>
    <t>Transportation-Local Fees</t>
  </si>
  <si>
    <t>Interest Earnings</t>
  </si>
  <si>
    <t>Miscellaneous - General</t>
  </si>
  <si>
    <t xml:space="preserve">    Total Fees/Other</t>
  </si>
  <si>
    <t xml:space="preserve">    Total Local Revenue</t>
  </si>
  <si>
    <t>State Revenue:</t>
  </si>
  <si>
    <t>Reg School Program</t>
  </si>
  <si>
    <t>Professional Staff</t>
  </si>
  <si>
    <t>Special Ed-Regular Program</t>
  </si>
  <si>
    <t>Special Ed-Self Contained</t>
  </si>
  <si>
    <t>Special Ed-Severe Ext Yr</t>
  </si>
  <si>
    <t>Special Ed-State Program</t>
  </si>
  <si>
    <t>Special Ed-Extended Year Stipend</t>
  </si>
  <si>
    <t>Elementary Arts Grant</t>
  </si>
  <si>
    <t>CTE</t>
  </si>
  <si>
    <t>Class Size Reduction</t>
  </si>
  <si>
    <t>Transportation</t>
  </si>
  <si>
    <t>Gifted/Talented</t>
  </si>
  <si>
    <t>Dual Immersion Program</t>
  </si>
  <si>
    <t>Drivers Education</t>
  </si>
  <si>
    <t>Concurrent Enrollment</t>
  </si>
  <si>
    <t>At-Risk Student Programs</t>
  </si>
  <si>
    <t>School Nurses</t>
  </si>
  <si>
    <t>Accel Learning</t>
  </si>
  <si>
    <t>Flexible Allocation WPU Dist</t>
  </si>
  <si>
    <t>Enrollment Growth</t>
  </si>
  <si>
    <t>Teacher Supplies</t>
  </si>
  <si>
    <t>School Land Trust</t>
  </si>
  <si>
    <t>Reading Achievement</t>
  </si>
  <si>
    <t>Library Books/Supplies</t>
  </si>
  <si>
    <t>Early Interventions</t>
  </si>
  <si>
    <t xml:space="preserve">    Total State Revenue</t>
  </si>
  <si>
    <t>Federal Revenue:</t>
  </si>
  <si>
    <t>Federal Title I</t>
  </si>
  <si>
    <t>Federal Title II</t>
  </si>
  <si>
    <t>Federal Title III</t>
  </si>
  <si>
    <t>Federal IDEA</t>
  </si>
  <si>
    <t>Other Fed-State</t>
  </si>
  <si>
    <t>Federal Forest Revenue (in lieu of tax)</t>
  </si>
  <si>
    <t>Math/Science Programs</t>
  </si>
  <si>
    <t>Federal Homeless</t>
  </si>
  <si>
    <t xml:space="preserve">    Total Federal Revenue</t>
  </si>
  <si>
    <t xml:space="preserve">    Total Revenue</t>
  </si>
  <si>
    <t>EXPENDITURES:</t>
  </si>
  <si>
    <t>Instructional:</t>
  </si>
  <si>
    <t>Salaries - Teachers</t>
  </si>
  <si>
    <t>Salaries - Teachers Aides</t>
  </si>
  <si>
    <t>Salaries - All Other</t>
  </si>
  <si>
    <t xml:space="preserve">  Total Salaries</t>
  </si>
  <si>
    <t>Retirement Benefits</t>
  </si>
  <si>
    <t>Social Security Benefits</t>
  </si>
  <si>
    <t>Insurance Benefits</t>
  </si>
  <si>
    <t xml:space="preserve">  Total Benefits</t>
  </si>
  <si>
    <t>Contracted Services</t>
  </si>
  <si>
    <t>Other Purchased Services</t>
  </si>
  <si>
    <t>Tuition to Other Districts</t>
  </si>
  <si>
    <t>Supplies</t>
  </si>
  <si>
    <t>Textbooks</t>
  </si>
  <si>
    <t>Equipment</t>
  </si>
  <si>
    <t>Other</t>
  </si>
  <si>
    <t xml:space="preserve">    Total Instructional:</t>
  </si>
  <si>
    <t>Support Services - Students</t>
  </si>
  <si>
    <t>Salaries - Guidance Counselors</t>
  </si>
  <si>
    <t>Salaries - Health Services Personnel</t>
  </si>
  <si>
    <t xml:space="preserve">    Total Support Services - Student:</t>
  </si>
  <si>
    <t>Support Services - Instructional</t>
  </si>
  <si>
    <t>Salaries - Media Centers</t>
  </si>
  <si>
    <t xml:space="preserve">    Total Support Services - Instructional:</t>
  </si>
  <si>
    <t>Support Services - District Administration</t>
  </si>
  <si>
    <t>Salaries - Administration</t>
  </si>
  <si>
    <t>Salaries - Secretarial</t>
  </si>
  <si>
    <t xml:space="preserve">    Total District Administration:</t>
  </si>
  <si>
    <t>Support Services - School Administration</t>
  </si>
  <si>
    <t xml:space="preserve">    Total School Administration:</t>
  </si>
  <si>
    <t>Support Services - Central</t>
  </si>
  <si>
    <t>Salaries - Central Services</t>
  </si>
  <si>
    <t xml:space="preserve">    Total Central Support Services</t>
  </si>
  <si>
    <t>Support Services - Facility Maintenance</t>
  </si>
  <si>
    <t>Salaries - Custodial/Maintenance</t>
  </si>
  <si>
    <t>Purchased Property Services</t>
  </si>
  <si>
    <t xml:space="preserve">    Total Support Services - Facilities</t>
  </si>
  <si>
    <t>Support Services - Transportation</t>
  </si>
  <si>
    <t xml:space="preserve">Salaries - Office </t>
  </si>
  <si>
    <t>Salaries - Bus Drivers</t>
  </si>
  <si>
    <t>Salaries - Mechanics</t>
  </si>
  <si>
    <t>Salaries - Activity Trip Driver</t>
  </si>
  <si>
    <t>Payments in Lieu of Transportation</t>
  </si>
  <si>
    <t>Property Insurance</t>
  </si>
  <si>
    <t>Motor Fuel</t>
  </si>
  <si>
    <t>Utilities</t>
  </si>
  <si>
    <t>Other Supplies</t>
  </si>
  <si>
    <t>School Buses</t>
  </si>
  <si>
    <t xml:space="preserve">    Total Support Services - Transportation</t>
  </si>
  <si>
    <t xml:space="preserve">    Total Support Services - Other</t>
  </si>
  <si>
    <t>Summary - General Fund</t>
  </si>
  <si>
    <t>Revenues by Source</t>
  </si>
  <si>
    <t xml:space="preserve">  Local</t>
  </si>
  <si>
    <t xml:space="preserve">  State</t>
  </si>
  <si>
    <t xml:space="preserve">  Federal</t>
  </si>
  <si>
    <t>Expenditures by Object</t>
  </si>
  <si>
    <t xml:space="preserve">  Salaries </t>
  </si>
  <si>
    <t xml:space="preserve">  Benefits</t>
  </si>
  <si>
    <t xml:space="preserve">  Contracted Services</t>
  </si>
  <si>
    <t xml:space="preserve">  Purchased Property Services</t>
  </si>
  <si>
    <t xml:space="preserve">  Other Purchased Services</t>
  </si>
  <si>
    <t xml:space="preserve">  Supplies</t>
  </si>
  <si>
    <t xml:space="preserve">  Equipment</t>
  </si>
  <si>
    <t xml:space="preserve">  Other</t>
  </si>
  <si>
    <t xml:space="preserve">    Total Expenditures</t>
  </si>
  <si>
    <t>Excess of Revenues over Expenditures</t>
  </si>
  <si>
    <t>Beginning Fund Balance</t>
  </si>
  <si>
    <t>Other Financing Uses</t>
  </si>
  <si>
    <t>Ending Fund Balance</t>
  </si>
  <si>
    <t>STUDENT ACTIVITY FUND</t>
  </si>
  <si>
    <t xml:space="preserve">  Earnings on Investments</t>
  </si>
  <si>
    <t xml:space="preserve">  Student Fees</t>
  </si>
  <si>
    <t xml:space="preserve">  School Vending</t>
  </si>
  <si>
    <t xml:space="preserve">  Community Services Activities</t>
  </si>
  <si>
    <t xml:space="preserve">    Total Revenue:</t>
  </si>
  <si>
    <t xml:space="preserve">  Salaries - Teachers</t>
  </si>
  <si>
    <t xml:space="preserve">    Total Expenditures:</t>
  </si>
  <si>
    <t xml:space="preserve">    Total Tax Proceeds:</t>
  </si>
  <si>
    <t xml:space="preserve">  Other Local</t>
  </si>
  <si>
    <t>Salaries</t>
  </si>
  <si>
    <t>DEBT SERVICE FUND</t>
  </si>
  <si>
    <t xml:space="preserve">  Debt Service Levy</t>
  </si>
  <si>
    <t xml:space="preserve">  Interest</t>
  </si>
  <si>
    <t xml:space="preserve">  Redemption of Principal</t>
  </si>
  <si>
    <t xml:space="preserve">  Miscellaneous Expenditures</t>
  </si>
  <si>
    <t>CAPITAL PROJECTS FUND</t>
  </si>
  <si>
    <t xml:space="preserve">  Voted Capital Levy</t>
  </si>
  <si>
    <t>Operation and Maintenance of Facilities</t>
  </si>
  <si>
    <t xml:space="preserve">    Total Operation &amp; Maintenance</t>
  </si>
  <si>
    <t>Building Acquisition and Construction</t>
  </si>
  <si>
    <t>Land and Improvements</t>
  </si>
  <si>
    <t>Buildings</t>
  </si>
  <si>
    <t xml:space="preserve">    Total Building Acquisition/Construction</t>
  </si>
  <si>
    <t>Summary - Capital Projects Fund</t>
  </si>
  <si>
    <t>FOOD SERVICE FUND</t>
  </si>
  <si>
    <t xml:space="preserve">  Sales to Students</t>
  </si>
  <si>
    <t xml:space="preserve">  School Lunch</t>
  </si>
  <si>
    <t xml:space="preserve">  Lunch Reimbursements</t>
  </si>
  <si>
    <t xml:space="preserve">  Donated Commodities</t>
  </si>
  <si>
    <t>Food Services</t>
  </si>
  <si>
    <t>Non-Food Supplies</t>
  </si>
  <si>
    <t>Food</t>
  </si>
  <si>
    <t xml:space="preserve">    Total Food Services Expenditures</t>
  </si>
  <si>
    <t>Other Financing Sources (Uses)</t>
  </si>
  <si>
    <t>OTHER GOVERNMENTAL/ENTERPRISE FUNDS</t>
  </si>
  <si>
    <t xml:space="preserve">  Contributions/Donations</t>
  </si>
  <si>
    <t xml:space="preserve">  Total Local</t>
  </si>
  <si>
    <t xml:space="preserve">  Total State</t>
  </si>
  <si>
    <t xml:space="preserve">  Total Federal</t>
  </si>
  <si>
    <t xml:space="preserve">  Salaries</t>
  </si>
  <si>
    <t xml:space="preserve">  Employee Benefits</t>
  </si>
  <si>
    <t xml:space="preserve">  Property</t>
  </si>
  <si>
    <t>Budget</t>
  </si>
  <si>
    <t>Special Ed- Pre-school</t>
  </si>
  <si>
    <t>Adult High School</t>
  </si>
  <si>
    <t>Federal IDEA - Pre-school</t>
  </si>
  <si>
    <t>Federal Adult Ed Programs</t>
  </si>
  <si>
    <t>Other Employee Benefits</t>
  </si>
  <si>
    <t>Salaries - Aides</t>
  </si>
  <si>
    <t>Community Services</t>
  </si>
  <si>
    <t xml:space="preserve">    Total Expenditures - Capital Fund</t>
  </si>
  <si>
    <t>Medicaid Outreach</t>
  </si>
  <si>
    <t>ALL FUNDS</t>
  </si>
  <si>
    <t>TANF Grant DWS Preschool 0-2</t>
  </si>
  <si>
    <t>Other Financing Sources</t>
  </si>
  <si>
    <t>Tuition from Pupils or Parents</t>
  </si>
  <si>
    <t>Educator Salary Adjustments</t>
  </si>
  <si>
    <t>Charter School Local Replacement</t>
  </si>
  <si>
    <t>Digital Teaching and Learning</t>
  </si>
  <si>
    <t xml:space="preserve">  State Retirement</t>
  </si>
  <si>
    <t xml:space="preserve">  Social Security</t>
  </si>
  <si>
    <t>TAX INCREMENT FINANCING FUND</t>
  </si>
  <si>
    <t xml:space="preserve">  Board Local Levy</t>
  </si>
  <si>
    <t>Expenditures:</t>
  </si>
  <si>
    <t>Teacher and Student Success Program</t>
  </si>
  <si>
    <t>FY19 Actual</t>
  </si>
  <si>
    <t>Redemption of Principal</t>
  </si>
  <si>
    <t>Interest - Capital lease</t>
  </si>
  <si>
    <t>Student Health &amp; Counseling Support</t>
  </si>
  <si>
    <t>FY20 Actual</t>
  </si>
  <si>
    <t>Teacher Salary Supplement Program</t>
  </si>
  <si>
    <t>Total Expenditures - General Fund</t>
  </si>
  <si>
    <t>Supplemental Educator Stipend (Covid)</t>
  </si>
  <si>
    <t>FY22 Amended</t>
  </si>
  <si>
    <t>FY21 Actual</t>
  </si>
  <si>
    <t>FY23 Budget</t>
  </si>
  <si>
    <t>2019 - 2023 Annual Financial Report Comparison</t>
  </si>
  <si>
    <t>FY2023 Budget</t>
  </si>
  <si>
    <t>Professional Development</t>
  </si>
  <si>
    <t xml:space="preserve">  Public Education Capital &amp; Technology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</si>
</sst>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MS"/>
      <family val="0"/>
    </font>
    <font>
      <b/>
      <sz val="18"/>
      <name val="TMS"/>
      <family val="0"/>
    </font>
    <font>
      <b/>
      <sz val="14"/>
      <name val="T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MS"/>
      <family val="0"/>
    </font>
    <font>
      <sz val="14"/>
      <color indexed="8"/>
      <name val="T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MS"/>
      <family val="0"/>
    </font>
    <font>
      <sz val="14"/>
      <color theme="1"/>
      <name val="TM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3" fillId="0" borderId="0" xfId="0" applyNumberFormat="1" applyFont="1" applyAlignment="1">
      <alignment horizontal="center"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" fontId="43" fillId="0" borderId="0" xfId="0" applyNumberFormat="1" applyFont="1" applyAlignment="1">
      <alignment horizontal="left"/>
    </xf>
    <xf numFmtId="10" fontId="4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7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2.6640625" defaultRowHeight="18" customHeight="1"/>
  <cols>
    <col min="1" max="1" width="37.6640625" style="1" customWidth="1"/>
    <col min="2" max="2" width="15.99609375" style="1" customWidth="1"/>
    <col min="3" max="3" width="15.6640625" style="1" customWidth="1"/>
    <col min="4" max="6" width="16.10546875" style="1" customWidth="1"/>
    <col min="7" max="248" width="12.6640625" style="1" customWidth="1"/>
  </cols>
  <sheetData>
    <row r="1" ht="27" customHeight="1">
      <c r="A1" s="2" t="s">
        <v>0</v>
      </c>
    </row>
    <row r="2" ht="18" customHeight="1">
      <c r="A2" s="3" t="s">
        <v>199</v>
      </c>
    </row>
    <row r="3" ht="18" customHeight="1">
      <c r="A3" s="3" t="s">
        <v>200</v>
      </c>
    </row>
    <row r="4" spans="2:6" ht="18" customHeight="1">
      <c r="B4" s="4" t="s">
        <v>188</v>
      </c>
      <c r="C4" s="4" t="s">
        <v>192</v>
      </c>
      <c r="D4" s="4" t="s">
        <v>197</v>
      </c>
      <c r="E4" s="4" t="s">
        <v>196</v>
      </c>
      <c r="F4" s="4" t="s">
        <v>198</v>
      </c>
    </row>
    <row r="5" spans="2:6" ht="18" customHeight="1">
      <c r="B5" s="4"/>
      <c r="C5" s="4"/>
      <c r="D5" s="4"/>
      <c r="E5" s="4" t="s">
        <v>165</v>
      </c>
      <c r="F5" s="4"/>
    </row>
    <row r="6" spans="2:3" ht="18" customHeight="1">
      <c r="B6" s="4"/>
      <c r="C6" s="4"/>
    </row>
    <row r="7" ht="18" customHeight="1">
      <c r="A7" s="4" t="s">
        <v>1</v>
      </c>
    </row>
    <row r="8" ht="18" customHeight="1">
      <c r="A8" s="3" t="s">
        <v>2</v>
      </c>
    </row>
    <row r="9" ht="18" customHeight="1">
      <c r="A9" s="3" t="s">
        <v>3</v>
      </c>
    </row>
    <row r="10" ht="18" customHeight="1">
      <c r="A10" s="1" t="s">
        <v>4</v>
      </c>
    </row>
    <row r="11" spans="1:6" ht="18" customHeight="1">
      <c r="A11" s="5" t="s">
        <v>5</v>
      </c>
      <c r="B11" s="1">
        <v>10181956</v>
      </c>
      <c r="C11" s="1">
        <v>11450502</v>
      </c>
      <c r="D11" s="1">
        <f>11112941+783793+563392</f>
        <v>12460126</v>
      </c>
      <c r="E11" s="1">
        <v>13367794</v>
      </c>
      <c r="F11" s="1">
        <v>14142333</v>
      </c>
    </row>
    <row r="12" spans="1:6" ht="18" customHeight="1">
      <c r="A12" s="5" t="s">
        <v>6</v>
      </c>
      <c r="B12" s="1">
        <v>21995699</v>
      </c>
      <c r="C12" s="1">
        <v>24810559</v>
      </c>
      <c r="D12" s="1">
        <f>11747771+828566+595577+14655703+1033663+743000</f>
        <v>29604280</v>
      </c>
      <c r="E12" s="1">
        <v>30736492</v>
      </c>
      <c r="F12" s="1">
        <f>19505369+15236680</f>
        <v>34742049</v>
      </c>
    </row>
    <row r="13" spans="1:6" ht="18" customHeight="1">
      <c r="A13" s="5" t="s">
        <v>7</v>
      </c>
      <c r="B13" s="1">
        <f>SUM(B11:B12)</f>
        <v>32177655</v>
      </c>
      <c r="C13" s="1">
        <f>SUM(C11:C12)</f>
        <v>36261061</v>
      </c>
      <c r="D13" s="1">
        <f>SUM(D11:D12)</f>
        <v>42064406</v>
      </c>
      <c r="E13" s="1">
        <f>SUM(E11:E12)</f>
        <v>44104286</v>
      </c>
      <c r="F13" s="1">
        <f>SUM(F11:F12)</f>
        <v>48884382</v>
      </c>
    </row>
    <row r="14" ht="18" customHeight="1">
      <c r="A14" s="5"/>
    </row>
    <row r="15" ht="18" customHeight="1">
      <c r="A15" s="5" t="s">
        <v>8</v>
      </c>
    </row>
    <row r="16" spans="1:6" ht="18" customHeight="1">
      <c r="A16" s="1" t="s">
        <v>178</v>
      </c>
      <c r="B16" s="1">
        <v>60997</v>
      </c>
      <c r="C16" s="1">
        <v>57894</v>
      </c>
      <c r="D16" s="1">
        <v>85630</v>
      </c>
      <c r="E16" s="1">
        <v>77500</v>
      </c>
      <c r="F16" s="1">
        <f>82500+102500</f>
        <v>185000</v>
      </c>
    </row>
    <row r="17" spans="1:6" ht="18" customHeight="1">
      <c r="A17" s="5" t="s">
        <v>9</v>
      </c>
      <c r="B17" s="1">
        <v>102624</v>
      </c>
      <c r="C17" s="1">
        <v>65100</v>
      </c>
      <c r="D17" s="1">
        <v>12461</v>
      </c>
      <c r="E17" s="1">
        <v>82500</v>
      </c>
      <c r="F17" s="1">
        <v>42500</v>
      </c>
    </row>
    <row r="18" spans="1:6" ht="18" customHeight="1">
      <c r="A18" s="5" t="s">
        <v>10</v>
      </c>
      <c r="B18" s="1">
        <v>631769</v>
      </c>
      <c r="C18" s="1">
        <v>452722</v>
      </c>
      <c r="D18" s="1">
        <v>101046</v>
      </c>
      <c r="E18" s="1">
        <v>112500</v>
      </c>
      <c r="F18" s="1">
        <v>142500</v>
      </c>
    </row>
    <row r="19" spans="1:6" ht="18" customHeight="1">
      <c r="A19" s="5" t="s">
        <v>11</v>
      </c>
      <c r="B19" s="1">
        <v>1226858</v>
      </c>
      <c r="C19" s="1">
        <v>1116321</v>
      </c>
      <c r="D19" s="1">
        <v>987381</v>
      </c>
      <c r="E19" s="1">
        <v>630350</v>
      </c>
      <c r="F19" s="1">
        <f>212500+425000</f>
        <v>637500</v>
      </c>
    </row>
    <row r="20" spans="1:6" ht="18" customHeight="1">
      <c r="A20" s="5" t="s">
        <v>12</v>
      </c>
      <c r="B20" s="1">
        <f>SUM(B16:B19)</f>
        <v>2022248</v>
      </c>
      <c r="C20" s="1">
        <f>SUM(C16:C19)</f>
        <v>1692037</v>
      </c>
      <c r="D20" s="1">
        <f>SUM(D16:D19)</f>
        <v>1186518</v>
      </c>
      <c r="E20" s="1">
        <f>SUM(E16:E19)</f>
        <v>902850</v>
      </c>
      <c r="F20" s="1">
        <f>SUM(F16:F19)</f>
        <v>1007500</v>
      </c>
    </row>
    <row r="21" spans="1:6" ht="18" customHeight="1">
      <c r="A21" s="3" t="s">
        <v>13</v>
      </c>
      <c r="B21" s="3">
        <f>B20+B13</f>
        <v>34199903</v>
      </c>
      <c r="C21" s="3">
        <f>C20+C13</f>
        <v>37953098</v>
      </c>
      <c r="D21" s="3">
        <f>D20+D13</f>
        <v>43250924</v>
      </c>
      <c r="E21" s="3">
        <f>E20+E13</f>
        <v>45007136</v>
      </c>
      <c r="F21" s="3">
        <f>F20+F13</f>
        <v>49891882</v>
      </c>
    </row>
    <row r="22" ht="18" customHeight="1">
      <c r="A22" s="5"/>
    </row>
    <row r="23" ht="18" customHeight="1">
      <c r="A23" s="3" t="s">
        <v>14</v>
      </c>
    </row>
    <row r="24" spans="1:6" ht="18" customHeight="1">
      <c r="A24" s="5" t="s">
        <v>15</v>
      </c>
      <c r="B24" s="1">
        <v>12797668</v>
      </c>
      <c r="C24" s="1">
        <v>12764654</v>
      </c>
      <c r="D24" s="1">
        <v>18306241</v>
      </c>
      <c r="E24" s="1">
        <f>20649581-60209</f>
        <v>20589372</v>
      </c>
      <c r="F24" s="1">
        <f>20188303-152775+8076</f>
        <v>20043604</v>
      </c>
    </row>
    <row r="25" spans="1:6" ht="18" customHeight="1">
      <c r="A25" s="5" t="s">
        <v>16</v>
      </c>
      <c r="B25" s="1">
        <v>2314544</v>
      </c>
      <c r="C25" s="1">
        <v>2408412</v>
      </c>
      <c r="D25" s="1">
        <v>3093646</v>
      </c>
      <c r="E25" s="1">
        <v>3413269</v>
      </c>
      <c r="F25" s="1">
        <v>3444702</v>
      </c>
    </row>
    <row r="26" spans="1:6" ht="18" customHeight="1">
      <c r="A26" s="1" t="s">
        <v>180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</row>
    <row r="27" spans="1:6" ht="18" customHeight="1">
      <c r="A27" s="5" t="s">
        <v>17</v>
      </c>
      <c r="B27" s="1">
        <v>2180800</v>
      </c>
      <c r="C27" s="1">
        <v>2236591</v>
      </c>
      <c r="D27" s="1">
        <v>2339098</v>
      </c>
      <c r="E27" s="1">
        <v>2510303</v>
      </c>
      <c r="F27" s="1">
        <v>2779054</v>
      </c>
    </row>
    <row r="28" spans="1:6" ht="18" customHeight="1">
      <c r="A28" s="5" t="s">
        <v>18</v>
      </c>
      <c r="B28" s="1">
        <v>263641</v>
      </c>
      <c r="C28" s="1">
        <v>205798</v>
      </c>
      <c r="D28" s="1">
        <v>214701</v>
      </c>
      <c r="E28" s="1">
        <v>258779</v>
      </c>
      <c r="F28" s="1">
        <v>270165</v>
      </c>
    </row>
    <row r="29" spans="1:6" ht="18" customHeight="1">
      <c r="A29" s="1" t="s">
        <v>166</v>
      </c>
      <c r="B29" s="1">
        <v>254523</v>
      </c>
      <c r="C29" s="1">
        <v>332291</v>
      </c>
      <c r="D29" s="1">
        <v>425909</v>
      </c>
      <c r="E29" s="1">
        <v>326254</v>
      </c>
      <c r="F29" s="1">
        <v>425304</v>
      </c>
    </row>
    <row r="30" spans="1:6" ht="18" customHeight="1">
      <c r="A30" s="5" t="s">
        <v>19</v>
      </c>
      <c r="B30" s="1">
        <v>11286</v>
      </c>
      <c r="C30" s="1">
        <v>12051</v>
      </c>
      <c r="D30" s="1">
        <v>12623</v>
      </c>
      <c r="E30" s="1">
        <v>14907</v>
      </c>
      <c r="F30" s="1">
        <v>15860</v>
      </c>
    </row>
    <row r="31" spans="1:6" ht="18" customHeight="1">
      <c r="A31" s="5" t="s">
        <v>20</v>
      </c>
      <c r="B31" s="1">
        <v>47986</v>
      </c>
      <c r="C31" s="1">
        <v>51510</v>
      </c>
      <c r="D31" s="1">
        <v>53749</v>
      </c>
      <c r="E31" s="1">
        <v>64358</v>
      </c>
      <c r="F31" s="1">
        <v>68440</v>
      </c>
    </row>
    <row r="32" spans="1:6" ht="18" customHeight="1">
      <c r="A32" s="5" t="s">
        <v>21</v>
      </c>
      <c r="B32" s="1">
        <v>45060</v>
      </c>
      <c r="C32" s="1">
        <v>46728</v>
      </c>
      <c r="D32" s="1">
        <v>35310</v>
      </c>
      <c r="E32" s="1">
        <v>56377</v>
      </c>
      <c r="F32" s="1">
        <v>56377</v>
      </c>
    </row>
    <row r="33" spans="1:6" ht="18" customHeight="1">
      <c r="A33" s="5" t="s">
        <v>22</v>
      </c>
      <c r="B33" s="1">
        <v>219914</v>
      </c>
      <c r="C33" s="1">
        <v>214599</v>
      </c>
      <c r="D33" s="1">
        <v>202284</v>
      </c>
      <c r="E33" s="1">
        <v>202284</v>
      </c>
      <c r="F33" s="1">
        <v>229797</v>
      </c>
    </row>
    <row r="34" spans="1:6" ht="18" customHeight="1">
      <c r="A34" s="5" t="s">
        <v>23</v>
      </c>
      <c r="B34" s="1">
        <v>1364756</v>
      </c>
      <c r="C34" s="1">
        <v>1413854</v>
      </c>
      <c r="D34" s="1">
        <v>1415026</v>
      </c>
      <c r="E34" s="1">
        <v>1490767</v>
      </c>
      <c r="F34" s="1">
        <v>1491058</v>
      </c>
    </row>
    <row r="35" spans="1:6" ht="18" customHeight="1">
      <c r="A35" s="1" t="s">
        <v>167</v>
      </c>
      <c r="B35" s="1">
        <v>69400</v>
      </c>
      <c r="C35" s="1">
        <v>71434</v>
      </c>
      <c r="D35" s="1">
        <v>71096</v>
      </c>
      <c r="E35" s="1">
        <v>76133</v>
      </c>
      <c r="F35" s="1">
        <v>75753</v>
      </c>
    </row>
    <row r="36" spans="1:6" ht="18" customHeight="1">
      <c r="A36" s="5" t="s">
        <v>24</v>
      </c>
      <c r="B36" s="1">
        <v>1483865</v>
      </c>
      <c r="C36" s="1">
        <v>1538467</v>
      </c>
      <c r="D36" s="1">
        <v>2145674</v>
      </c>
      <c r="E36" s="1">
        <v>2417317</v>
      </c>
      <c r="F36" s="1">
        <v>2352516</v>
      </c>
    </row>
    <row r="37" spans="1:6" ht="18" customHeight="1">
      <c r="A37" s="1" t="s">
        <v>187</v>
      </c>
      <c r="B37" s="1">
        <v>0</v>
      </c>
      <c r="C37" s="1">
        <v>1058587</v>
      </c>
      <c r="D37" s="1">
        <v>1131645</v>
      </c>
      <c r="E37" s="1">
        <v>1722886</v>
      </c>
      <c r="F37" s="1">
        <v>1942373</v>
      </c>
    </row>
    <row r="38" spans="1:6" ht="18" customHeight="1">
      <c r="A38" s="5" t="s">
        <v>25</v>
      </c>
      <c r="B38" s="1">
        <v>1124910</v>
      </c>
      <c r="C38" s="1">
        <v>1146828</v>
      </c>
      <c r="D38" s="1">
        <v>1129620</v>
      </c>
      <c r="E38" s="1">
        <v>1232757</v>
      </c>
      <c r="F38" s="1">
        <v>1415224</v>
      </c>
    </row>
    <row r="39" spans="1:6" ht="18" customHeight="1">
      <c r="A39" s="5" t="s">
        <v>26</v>
      </c>
      <c r="B39" s="1">
        <v>34836</v>
      </c>
      <c r="C39" s="1">
        <v>37525</v>
      </c>
      <c r="D39" s="1">
        <v>54780</v>
      </c>
      <c r="E39" s="1">
        <v>54780</v>
      </c>
      <c r="F39" s="1">
        <v>56132</v>
      </c>
    </row>
    <row r="40" spans="1:6" ht="18" customHeight="1">
      <c r="A40" s="5" t="s">
        <v>27</v>
      </c>
      <c r="B40" s="1">
        <v>61000</v>
      </c>
      <c r="C40" s="1">
        <v>91500</v>
      </c>
      <c r="D40" s="1">
        <v>129000</v>
      </c>
      <c r="E40" s="1">
        <v>129000</v>
      </c>
      <c r="F40" s="1">
        <v>102000</v>
      </c>
    </row>
    <row r="41" spans="1:6" ht="18" customHeight="1">
      <c r="A41" s="5" t="s">
        <v>28</v>
      </c>
      <c r="B41" s="1">
        <v>56680</v>
      </c>
      <c r="C41" s="1">
        <v>72126</v>
      </c>
      <c r="D41" s="1">
        <v>65874</v>
      </c>
      <c r="E41" s="1">
        <v>72127</v>
      </c>
      <c r="F41" s="1">
        <v>75240</v>
      </c>
    </row>
    <row r="42" spans="1:6" ht="18" customHeight="1">
      <c r="A42" s="5" t="s">
        <v>29</v>
      </c>
      <c r="B42" s="1">
        <v>168142</v>
      </c>
      <c r="C42" s="1">
        <v>167051</v>
      </c>
      <c r="D42" s="1">
        <v>173246</v>
      </c>
      <c r="E42" s="1">
        <v>154747</v>
      </c>
      <c r="F42" s="1">
        <v>154747</v>
      </c>
    </row>
    <row r="43" spans="1:6" ht="18" customHeight="1">
      <c r="A43" s="5" t="s">
        <v>30</v>
      </c>
      <c r="B43" s="1">
        <v>303917</v>
      </c>
      <c r="C43" s="1">
        <v>356842</v>
      </c>
      <c r="D43" s="1">
        <v>366322</v>
      </c>
      <c r="E43" s="1">
        <v>553257</v>
      </c>
      <c r="F43" s="1">
        <v>872749</v>
      </c>
    </row>
    <row r="44" spans="1:6" ht="18" customHeight="1">
      <c r="A44" s="5" t="s">
        <v>31</v>
      </c>
      <c r="B44" s="1">
        <v>11543</v>
      </c>
      <c r="C44" s="1">
        <v>0</v>
      </c>
      <c r="D44" s="1">
        <v>15406</v>
      </c>
      <c r="E44" s="1">
        <v>15406</v>
      </c>
      <c r="F44" s="1">
        <v>15406</v>
      </c>
    </row>
    <row r="45" spans="1:6" ht="18" customHeight="1">
      <c r="A45" s="5" t="s">
        <v>32</v>
      </c>
      <c r="B45" s="1">
        <v>23903</v>
      </c>
      <c r="C45" s="1">
        <v>20723</v>
      </c>
      <c r="D45" s="1">
        <v>23602</v>
      </c>
      <c r="E45" s="1">
        <v>23247</v>
      </c>
      <c r="F45" s="1">
        <v>24676</v>
      </c>
    </row>
    <row r="46" spans="1:6" ht="18" customHeight="1">
      <c r="A46" s="5" t="s">
        <v>33</v>
      </c>
      <c r="B46" s="1">
        <v>763927</v>
      </c>
      <c r="C46" s="1">
        <v>81347</v>
      </c>
      <c r="D46" s="1">
        <v>0</v>
      </c>
      <c r="E46" s="1">
        <v>0</v>
      </c>
      <c r="F46" s="1">
        <v>0</v>
      </c>
    </row>
    <row r="47" spans="1:6" ht="18" customHeight="1">
      <c r="A47" s="5" t="s">
        <v>34</v>
      </c>
      <c r="B47" s="1">
        <v>231216</v>
      </c>
      <c r="C47" s="1">
        <v>197954</v>
      </c>
      <c r="D47" s="1">
        <v>129719</v>
      </c>
      <c r="E47" s="1">
        <v>526825</v>
      </c>
      <c r="F47" s="1">
        <v>333096</v>
      </c>
    </row>
    <row r="48" spans="1:6" ht="18" customHeight="1">
      <c r="A48" s="5" t="s">
        <v>35</v>
      </c>
      <c r="B48" s="1">
        <v>64665</v>
      </c>
      <c r="C48" s="1">
        <v>65140</v>
      </c>
      <c r="D48" s="1">
        <v>64393</v>
      </c>
      <c r="E48" s="1">
        <v>64359</v>
      </c>
      <c r="F48" s="1">
        <v>68009</v>
      </c>
    </row>
    <row r="49" spans="1:6" ht="18" customHeight="1">
      <c r="A49" s="1" t="s">
        <v>179</v>
      </c>
      <c r="B49" s="1">
        <v>2079074</v>
      </c>
      <c r="C49" s="1">
        <v>2141904</v>
      </c>
      <c r="D49" s="1">
        <v>2225503</v>
      </c>
      <c r="E49" s="1">
        <v>2225503</v>
      </c>
      <c r="F49" s="1">
        <v>2336632</v>
      </c>
    </row>
    <row r="50" spans="1:6" ht="18" customHeight="1">
      <c r="A50" s="1" t="s">
        <v>181</v>
      </c>
      <c r="B50" s="1">
        <v>57500</v>
      </c>
      <c r="C50" s="1">
        <v>408192</v>
      </c>
      <c r="D50" s="1">
        <v>239360</v>
      </c>
      <c r="E50" s="1">
        <v>234095</v>
      </c>
      <c r="F50" s="1">
        <v>288371</v>
      </c>
    </row>
    <row r="51" spans="1:6" ht="18" customHeight="1">
      <c r="A51" s="5" t="s">
        <v>36</v>
      </c>
      <c r="B51" s="1">
        <v>856211</v>
      </c>
      <c r="C51" s="1">
        <v>971592</v>
      </c>
      <c r="D51" s="1">
        <v>1047113</v>
      </c>
      <c r="E51" s="1">
        <v>1334705</v>
      </c>
      <c r="F51" s="1">
        <v>1321673</v>
      </c>
    </row>
    <row r="52" spans="1:6" ht="18" customHeight="1">
      <c r="A52" s="1" t="s">
        <v>191</v>
      </c>
      <c r="B52" s="1">
        <v>0</v>
      </c>
      <c r="C52" s="1">
        <v>167128</v>
      </c>
      <c r="D52" s="1">
        <v>182907</v>
      </c>
      <c r="E52" s="1">
        <v>284638</v>
      </c>
      <c r="F52" s="1">
        <v>286621</v>
      </c>
    </row>
    <row r="53" spans="1:6" ht="18" customHeight="1">
      <c r="A53" s="5" t="s">
        <v>37</v>
      </c>
      <c r="B53" s="1">
        <v>96702</v>
      </c>
      <c r="C53" s="1">
        <v>97249</v>
      </c>
      <c r="D53" s="1">
        <v>95545</v>
      </c>
      <c r="E53" s="1">
        <v>93907</v>
      </c>
      <c r="F53" s="1">
        <v>97807</v>
      </c>
    </row>
    <row r="54" spans="1:6" ht="18" customHeight="1">
      <c r="A54" s="5" t="s">
        <v>38</v>
      </c>
      <c r="B54" s="1">
        <v>8647</v>
      </c>
      <c r="C54" s="1">
        <v>8760</v>
      </c>
      <c r="D54" s="1">
        <v>7684</v>
      </c>
      <c r="E54" s="1">
        <v>7680</v>
      </c>
      <c r="F54" s="1">
        <v>9555</v>
      </c>
    </row>
    <row r="55" spans="1:6" ht="18" customHeight="1">
      <c r="A55" s="1" t="s">
        <v>193</v>
      </c>
      <c r="B55" s="1">
        <v>0</v>
      </c>
      <c r="C55" s="1">
        <v>356219</v>
      </c>
      <c r="D55" s="1">
        <v>197297</v>
      </c>
      <c r="E55" s="1">
        <v>263302</v>
      </c>
      <c r="F55" s="1">
        <v>161551</v>
      </c>
    </row>
    <row r="56" spans="1:6" ht="18" customHeight="1">
      <c r="A56" s="1" t="s">
        <v>201</v>
      </c>
      <c r="B56" s="1">
        <v>15556</v>
      </c>
      <c r="C56" s="1">
        <v>59380</v>
      </c>
      <c r="D56" s="1">
        <f>3298+2578+3199</f>
        <v>9075</v>
      </c>
      <c r="E56" s="1">
        <v>0</v>
      </c>
      <c r="F56" s="1">
        <v>786453</v>
      </c>
    </row>
    <row r="57" spans="1:6" ht="18" customHeight="1">
      <c r="A57" s="1" t="s">
        <v>195</v>
      </c>
      <c r="B57" s="1">
        <v>0</v>
      </c>
      <c r="C57" s="1">
        <v>0</v>
      </c>
      <c r="D57" s="1">
        <v>1225784</v>
      </c>
      <c r="E57" s="1">
        <v>0</v>
      </c>
      <c r="F57" s="1">
        <v>0</v>
      </c>
    </row>
    <row r="58" spans="1:6" ht="18" customHeight="1">
      <c r="A58" s="5" t="s">
        <v>39</v>
      </c>
      <c r="B58" s="1">
        <v>89573</v>
      </c>
      <c r="C58" s="1">
        <v>92550</v>
      </c>
      <c r="D58" s="1">
        <v>210822</v>
      </c>
      <c r="E58" s="1">
        <v>93907</v>
      </c>
      <c r="F58" s="1">
        <v>273074</v>
      </c>
    </row>
    <row r="59" spans="1:6" ht="18" customHeight="1">
      <c r="A59" s="3" t="s">
        <v>40</v>
      </c>
      <c r="B59" s="3">
        <f>SUM(B24:B58)</f>
        <v>27101445</v>
      </c>
      <c r="C59" s="3">
        <f>SUM(C24:C58)</f>
        <v>28894986</v>
      </c>
      <c r="D59" s="3">
        <f>SUM(D24:D58)</f>
        <v>37040054</v>
      </c>
      <c r="E59" s="3">
        <f>SUM(E24:E58)</f>
        <v>40507248</v>
      </c>
      <c r="F59" s="3">
        <f>SUM(F24:F58)</f>
        <v>41874019</v>
      </c>
    </row>
    <row r="60" ht="18" customHeight="1">
      <c r="A60" s="3"/>
    </row>
    <row r="61" ht="18" customHeight="1">
      <c r="A61" s="5"/>
    </row>
    <row r="62" ht="18" customHeight="1">
      <c r="A62" s="3" t="s">
        <v>41</v>
      </c>
    </row>
    <row r="63" spans="1:6" ht="18" customHeight="1">
      <c r="A63" s="5" t="s">
        <v>42</v>
      </c>
      <c r="B63" s="1">
        <v>410846</v>
      </c>
      <c r="C63" s="1">
        <v>320807</v>
      </c>
      <c r="D63" s="1">
        <v>263835</v>
      </c>
      <c r="E63" s="1">
        <v>271042</v>
      </c>
      <c r="F63" s="1">
        <v>323656</v>
      </c>
    </row>
    <row r="64" spans="1:6" ht="18" customHeight="1">
      <c r="A64" s="5" t="s">
        <v>43</v>
      </c>
      <c r="B64" s="1">
        <v>99877</v>
      </c>
      <c r="C64" s="1">
        <v>100901</v>
      </c>
      <c r="D64" s="1">
        <v>101637</v>
      </c>
      <c r="E64" s="1">
        <v>101637</v>
      </c>
      <c r="F64" s="1">
        <v>107293</v>
      </c>
    </row>
    <row r="65" spans="1:6" ht="18" customHeight="1">
      <c r="A65" s="5" t="s">
        <v>44</v>
      </c>
      <c r="B65" s="1">
        <v>70195</v>
      </c>
      <c r="C65" s="1">
        <v>63969</v>
      </c>
      <c r="D65" s="1">
        <v>69932</v>
      </c>
      <c r="E65" s="1">
        <v>69932</v>
      </c>
      <c r="F65" s="1">
        <v>153073</v>
      </c>
    </row>
    <row r="66" spans="1:6" ht="18" customHeight="1">
      <c r="A66" s="1" t="s">
        <v>168</v>
      </c>
      <c r="B66" s="1">
        <v>36802</v>
      </c>
      <c r="C66" s="1">
        <v>37850</v>
      </c>
      <c r="D66" s="1">
        <v>38462</v>
      </c>
      <c r="E66" s="1">
        <v>38462</v>
      </c>
      <c r="F66" s="1">
        <v>37850</v>
      </c>
    </row>
    <row r="67" spans="1:6" ht="18" customHeight="1">
      <c r="A67" s="5" t="s">
        <v>45</v>
      </c>
      <c r="B67" s="1">
        <v>1055698</v>
      </c>
      <c r="C67" s="1">
        <v>1066097</v>
      </c>
      <c r="D67" s="1">
        <v>1152917</v>
      </c>
      <c r="E67" s="1">
        <v>1152917</v>
      </c>
      <c r="F67" s="1">
        <v>1158093</v>
      </c>
    </row>
    <row r="68" spans="1:6" ht="18" customHeight="1">
      <c r="A68" s="1" t="s">
        <v>169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</row>
    <row r="69" spans="1:6" ht="18" customHeight="1">
      <c r="A69" s="1" t="s">
        <v>176</v>
      </c>
      <c r="B69" s="1">
        <v>730637</v>
      </c>
      <c r="C69" s="1">
        <v>297636</v>
      </c>
      <c r="D69" s="1">
        <v>298433</v>
      </c>
      <c r="E69" s="1">
        <v>298433</v>
      </c>
      <c r="F69" s="1">
        <v>425000</v>
      </c>
    </row>
    <row r="70" spans="1:6" ht="18" customHeight="1">
      <c r="A70" s="5" t="s">
        <v>46</v>
      </c>
      <c r="B70" s="1">
        <v>335610</v>
      </c>
      <c r="C70" s="1">
        <v>232323</v>
      </c>
      <c r="D70" s="1">
        <f>42057+191634+278952+219329+26662+25283+315255</f>
        <v>1099172</v>
      </c>
      <c r="E70" s="1">
        <f>40255+1043228+146551</f>
        <v>1230034</v>
      </c>
      <c r="F70" s="1">
        <f>1226132+27500+67500</f>
        <v>1321132</v>
      </c>
    </row>
    <row r="71" spans="1:6" ht="18" customHeight="1">
      <c r="A71" s="5" t="s">
        <v>47</v>
      </c>
      <c r="B71" s="1">
        <v>92726</v>
      </c>
      <c r="C71" s="1">
        <v>91381</v>
      </c>
      <c r="D71" s="1">
        <v>71227</v>
      </c>
      <c r="E71" s="1">
        <v>73000</v>
      </c>
      <c r="F71" s="1">
        <v>67500</v>
      </c>
    </row>
    <row r="72" spans="1:6" ht="18" customHeight="1">
      <c r="A72" s="5" t="s">
        <v>48</v>
      </c>
      <c r="B72" s="1">
        <v>106542</v>
      </c>
      <c r="C72" s="1">
        <v>10348</v>
      </c>
      <c r="D72" s="1">
        <v>0</v>
      </c>
      <c r="E72" s="1">
        <v>0</v>
      </c>
      <c r="F72" s="1">
        <v>0</v>
      </c>
    </row>
    <row r="73" spans="1:6" ht="18" customHeight="1">
      <c r="A73" s="1" t="s">
        <v>174</v>
      </c>
      <c r="B73" s="1">
        <v>136171</v>
      </c>
      <c r="C73" s="1">
        <v>117194</v>
      </c>
      <c r="D73" s="1">
        <v>399136</v>
      </c>
      <c r="E73" s="1">
        <v>175000</v>
      </c>
      <c r="F73" s="1">
        <v>325000</v>
      </c>
    </row>
    <row r="74" spans="1:6" ht="18" customHeight="1">
      <c r="A74" s="5" t="s">
        <v>49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</row>
    <row r="75" spans="1:6" ht="18" customHeight="1">
      <c r="A75" s="3" t="s">
        <v>50</v>
      </c>
      <c r="B75" s="3">
        <f>SUM(B63:B74)</f>
        <v>3075104</v>
      </c>
      <c r="C75" s="3">
        <f>SUM(C63:C74)</f>
        <v>2338506</v>
      </c>
      <c r="D75" s="3">
        <f>SUM(D63:D74)</f>
        <v>3494751</v>
      </c>
      <c r="E75" s="3">
        <f>SUM(E63:E74)</f>
        <v>3410457</v>
      </c>
      <c r="F75" s="3">
        <f>SUM(F63:F74)</f>
        <v>3918597</v>
      </c>
    </row>
    <row r="77" spans="1:6" ht="18" customHeight="1">
      <c r="A77" s="3" t="s">
        <v>51</v>
      </c>
      <c r="B77" s="3">
        <f>B75+B59+B21</f>
        <v>64376452</v>
      </c>
      <c r="C77" s="3">
        <f>C75+C59+C21</f>
        <v>69186590</v>
      </c>
      <c r="D77" s="3">
        <f>D75+D59+D21</f>
        <v>83785729</v>
      </c>
      <c r="E77" s="3">
        <f>E75+E59+E21</f>
        <v>88924841</v>
      </c>
      <c r="F77" s="3">
        <f>F75+F59+F21</f>
        <v>95684498</v>
      </c>
    </row>
    <row r="79" ht="18" customHeight="1">
      <c r="A79" s="9" t="s">
        <v>52</v>
      </c>
    </row>
    <row r="80" ht="18" customHeight="1">
      <c r="A80" s="9" t="s">
        <v>53</v>
      </c>
    </row>
    <row r="81" spans="1:6" ht="18" customHeight="1">
      <c r="A81" s="5" t="s">
        <v>54</v>
      </c>
      <c r="B81" s="1">
        <v>24034650</v>
      </c>
      <c r="C81" s="1">
        <v>26905936</v>
      </c>
      <c r="D81" s="1">
        <v>30376817</v>
      </c>
      <c r="E81" s="1">
        <v>33043038</v>
      </c>
      <c r="F81" s="1">
        <v>36754486</v>
      </c>
    </row>
    <row r="82" spans="1:6" ht="18" customHeight="1">
      <c r="A82" s="5" t="s">
        <v>55</v>
      </c>
      <c r="B82" s="1">
        <v>2087373</v>
      </c>
      <c r="C82" s="1">
        <v>2306069</v>
      </c>
      <c r="D82" s="1">
        <v>2575031</v>
      </c>
      <c r="E82" s="1">
        <v>4102514</v>
      </c>
      <c r="F82" s="1">
        <v>4205212</v>
      </c>
    </row>
    <row r="83" spans="1:6" ht="18" customHeight="1">
      <c r="A83" s="5" t="s">
        <v>56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</row>
    <row r="84" spans="1:6" ht="18" customHeight="1">
      <c r="A84" s="3" t="s">
        <v>57</v>
      </c>
      <c r="B84" s="3">
        <f>SUM(B81:B83)</f>
        <v>26122023</v>
      </c>
      <c r="C84" s="3">
        <f>SUM(C81:C83)</f>
        <v>29212005</v>
      </c>
      <c r="D84" s="3">
        <f>SUM(D81:D83)</f>
        <v>32951848</v>
      </c>
      <c r="E84" s="3">
        <f>SUM(E81:E83)</f>
        <v>37145552</v>
      </c>
      <c r="F84" s="3">
        <f>SUM(F81:F83)</f>
        <v>40959698</v>
      </c>
    </row>
    <row r="85" spans="1:6" ht="18" customHeight="1">
      <c r="A85" s="5" t="s">
        <v>58</v>
      </c>
      <c r="B85" s="1">
        <v>5706914</v>
      </c>
      <c r="C85" s="1">
        <v>6367048</v>
      </c>
      <c r="D85" s="1">
        <v>6551209</v>
      </c>
      <c r="E85" s="1">
        <v>8746006</v>
      </c>
      <c r="F85" s="1">
        <v>9013614</v>
      </c>
    </row>
    <row r="86" spans="1:6" ht="18" customHeight="1">
      <c r="A86" s="5" t="s">
        <v>59</v>
      </c>
      <c r="B86" s="1">
        <v>1896230</v>
      </c>
      <c r="C86" s="1">
        <v>2267699</v>
      </c>
      <c r="D86" s="1">
        <v>2496639</v>
      </c>
      <c r="E86" s="1">
        <v>2796189</v>
      </c>
      <c r="F86" s="1">
        <v>3136298</v>
      </c>
    </row>
    <row r="87" spans="1:6" ht="18" customHeight="1">
      <c r="A87" s="5" t="s">
        <v>60</v>
      </c>
      <c r="B87" s="1">
        <v>7195110</v>
      </c>
      <c r="C87" s="1">
        <v>7425472</v>
      </c>
      <c r="D87" s="1">
        <v>7534106</v>
      </c>
      <c r="E87" s="1">
        <v>7662958</v>
      </c>
      <c r="F87" s="1">
        <v>9435267</v>
      </c>
    </row>
    <row r="88" spans="1:6" ht="18" customHeight="1">
      <c r="A88" s="1" t="s">
        <v>170</v>
      </c>
      <c r="B88" s="1">
        <v>293022</v>
      </c>
      <c r="C88" s="1">
        <v>165952</v>
      </c>
      <c r="D88" s="1">
        <v>235037</v>
      </c>
      <c r="E88" s="1">
        <v>275000</v>
      </c>
      <c r="F88" s="1">
        <v>275000</v>
      </c>
    </row>
    <row r="89" spans="1:6" ht="18" customHeight="1">
      <c r="A89" s="3" t="s">
        <v>61</v>
      </c>
      <c r="B89" s="3">
        <f>SUM(B85:B88)</f>
        <v>15091276</v>
      </c>
      <c r="C89" s="3">
        <f>SUM(C85:C88)</f>
        <v>16226171</v>
      </c>
      <c r="D89" s="3">
        <f>SUM(D85:D88)</f>
        <v>16816991</v>
      </c>
      <c r="E89" s="3">
        <f>SUM(E85:E88)</f>
        <v>19480153</v>
      </c>
      <c r="F89" s="3">
        <f>SUM(F85:F88)</f>
        <v>21860179</v>
      </c>
    </row>
    <row r="90" spans="1:6" ht="18" customHeight="1">
      <c r="A90" s="5" t="s">
        <v>62</v>
      </c>
      <c r="B90" s="1">
        <v>1102256</v>
      </c>
      <c r="C90" s="1">
        <v>790586</v>
      </c>
      <c r="D90" s="1">
        <v>6252149</v>
      </c>
      <c r="E90" s="1">
        <v>6363716</v>
      </c>
      <c r="F90" s="1">
        <v>4574805</v>
      </c>
    </row>
    <row r="91" spans="1:6" ht="18" customHeight="1">
      <c r="A91" s="1" t="s">
        <v>88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</row>
    <row r="92" spans="1:6" ht="18" customHeight="1">
      <c r="A92" s="5" t="s">
        <v>63</v>
      </c>
      <c r="B92" s="1">
        <v>391732</v>
      </c>
      <c r="C92" s="1">
        <v>368038</v>
      </c>
      <c r="D92" s="1">
        <v>170163</v>
      </c>
      <c r="E92" s="1">
        <v>481824</v>
      </c>
      <c r="F92" s="1">
        <v>679740</v>
      </c>
    </row>
    <row r="93" spans="1:6" ht="18" customHeight="1">
      <c r="A93" s="5" t="s">
        <v>64</v>
      </c>
      <c r="B93" s="1">
        <v>160179</v>
      </c>
      <c r="C93" s="1">
        <v>227657</v>
      </c>
      <c r="D93" s="1">
        <v>215744</v>
      </c>
      <c r="E93" s="1">
        <v>342500</v>
      </c>
      <c r="F93" s="1">
        <v>275500</v>
      </c>
    </row>
    <row r="94" spans="1:6" ht="18" customHeight="1">
      <c r="A94" s="5" t="s">
        <v>65</v>
      </c>
      <c r="B94" s="1">
        <v>837696</v>
      </c>
      <c r="C94" s="1">
        <v>924022</v>
      </c>
      <c r="D94" s="1">
        <v>1479937</v>
      </c>
      <c r="E94" s="1">
        <v>1517181</v>
      </c>
      <c r="F94" s="1">
        <v>1526601</v>
      </c>
    </row>
    <row r="95" spans="1:6" ht="18" customHeight="1">
      <c r="A95" s="5" t="s">
        <v>66</v>
      </c>
      <c r="B95" s="1">
        <v>115760</v>
      </c>
      <c r="C95" s="1">
        <v>150772</v>
      </c>
      <c r="D95" s="1">
        <v>170121</v>
      </c>
      <c r="E95" s="1">
        <v>196937</v>
      </c>
      <c r="F95" s="1">
        <v>179812</v>
      </c>
    </row>
    <row r="96" spans="1:6" ht="18" customHeight="1">
      <c r="A96" s="5" t="s">
        <v>67</v>
      </c>
      <c r="B96" s="1">
        <v>84092</v>
      </c>
      <c r="C96" s="1">
        <v>77569</v>
      </c>
      <c r="D96" s="1">
        <v>50011</v>
      </c>
      <c r="E96" s="1">
        <v>206132</v>
      </c>
      <c r="F96" s="1">
        <v>123100</v>
      </c>
    </row>
    <row r="97" spans="1:6" ht="18" customHeight="1">
      <c r="A97" s="5" t="s">
        <v>68</v>
      </c>
      <c r="B97" s="1">
        <v>29169</v>
      </c>
      <c r="C97" s="1">
        <v>24033</v>
      </c>
      <c r="D97" s="1">
        <v>19432</v>
      </c>
      <c r="E97" s="1">
        <v>25750</v>
      </c>
      <c r="F97" s="1">
        <v>22500</v>
      </c>
    </row>
    <row r="98" spans="1:6" ht="18" customHeight="1">
      <c r="A98" s="3" t="s">
        <v>69</v>
      </c>
      <c r="B98" s="3">
        <f>B84+B89+SUM(B90:B97)</f>
        <v>43934183</v>
      </c>
      <c r="C98" s="3">
        <f>C84+C89+SUM(C90:C97)</f>
        <v>48000853</v>
      </c>
      <c r="D98" s="3">
        <f>D84+D89+SUM(D90:D97)</f>
        <v>58126396</v>
      </c>
      <c r="E98" s="3">
        <f>E84+E89+SUM(E90:E97)</f>
        <v>65759745</v>
      </c>
      <c r="F98" s="3">
        <f>F84+F89+SUM(F90:F97)</f>
        <v>70201935</v>
      </c>
    </row>
    <row r="99" ht="18" customHeight="1">
      <c r="A99" s="5"/>
    </row>
    <row r="100" ht="18" customHeight="1">
      <c r="A100" s="3" t="s">
        <v>70</v>
      </c>
    </row>
    <row r="101" spans="1:6" ht="18" customHeight="1">
      <c r="A101" s="5" t="s">
        <v>71</v>
      </c>
      <c r="B101" s="1">
        <v>971463</v>
      </c>
      <c r="C101" s="1">
        <v>1244152</v>
      </c>
      <c r="D101" s="1">
        <v>1443471</v>
      </c>
      <c r="E101" s="1">
        <v>1569352</v>
      </c>
      <c r="F101" s="1">
        <v>1810892</v>
      </c>
    </row>
    <row r="102" spans="1:6" ht="18" customHeight="1">
      <c r="A102" s="5" t="s">
        <v>72</v>
      </c>
      <c r="B102" s="1">
        <v>208485</v>
      </c>
      <c r="C102" s="1">
        <v>196636</v>
      </c>
      <c r="D102" s="1">
        <v>390596</v>
      </c>
      <c r="E102" s="1">
        <v>429779</v>
      </c>
      <c r="F102" s="1">
        <v>390275</v>
      </c>
    </row>
    <row r="103" spans="1:6" ht="18" customHeight="1">
      <c r="A103" s="1" t="s">
        <v>171</v>
      </c>
      <c r="B103" s="1">
        <v>0</v>
      </c>
      <c r="C103" s="1">
        <v>20501</v>
      </c>
      <c r="D103" s="1">
        <v>0</v>
      </c>
      <c r="E103" s="1">
        <v>0</v>
      </c>
      <c r="F103" s="1">
        <v>0</v>
      </c>
    </row>
    <row r="104" spans="1:6" ht="18" customHeight="1">
      <c r="A104" s="3" t="s">
        <v>57</v>
      </c>
      <c r="B104" s="3">
        <f>SUM(B101:B103)</f>
        <v>1179948</v>
      </c>
      <c r="C104" s="3">
        <f>SUM(C101:C103)</f>
        <v>1461289</v>
      </c>
      <c r="D104" s="3">
        <f>SUM(D101:D103)</f>
        <v>1834067</v>
      </c>
      <c r="E104" s="3">
        <f>SUM(E101:E103)</f>
        <v>1999131</v>
      </c>
      <c r="F104" s="3">
        <f>SUM(F101:F103)</f>
        <v>2201167</v>
      </c>
    </row>
    <row r="105" spans="1:6" ht="18" customHeight="1">
      <c r="A105" s="5" t="s">
        <v>58</v>
      </c>
      <c r="B105" s="1">
        <v>288010</v>
      </c>
      <c r="C105" s="1">
        <v>358703</v>
      </c>
      <c r="D105" s="1">
        <v>422705</v>
      </c>
      <c r="E105" s="1">
        <v>471896</v>
      </c>
      <c r="F105" s="1">
        <v>513717</v>
      </c>
    </row>
    <row r="106" spans="1:6" ht="18" customHeight="1">
      <c r="A106" s="5" t="s">
        <v>59</v>
      </c>
      <c r="B106" s="1">
        <v>90484</v>
      </c>
      <c r="C106" s="1">
        <v>117459</v>
      </c>
      <c r="D106" s="1">
        <v>132801</v>
      </c>
      <c r="E106" s="1">
        <v>148255</v>
      </c>
      <c r="F106" s="1">
        <v>163711</v>
      </c>
    </row>
    <row r="107" spans="1:6" ht="18" customHeight="1">
      <c r="A107" s="5" t="s">
        <v>60</v>
      </c>
      <c r="B107" s="1">
        <v>333540</v>
      </c>
      <c r="C107" s="1">
        <v>420671</v>
      </c>
      <c r="D107" s="1">
        <v>422202</v>
      </c>
      <c r="E107" s="1">
        <v>496162</v>
      </c>
      <c r="F107" s="1">
        <v>649417</v>
      </c>
    </row>
    <row r="108" spans="1:6" ht="18" customHeight="1">
      <c r="A108" s="3" t="s">
        <v>61</v>
      </c>
      <c r="B108" s="3">
        <f>SUM(B105:B107)</f>
        <v>712034</v>
      </c>
      <c r="C108" s="3">
        <f>SUM(C105:C107)</f>
        <v>896833</v>
      </c>
      <c r="D108" s="3">
        <f>SUM(D105:D107)</f>
        <v>977708</v>
      </c>
      <c r="E108" s="3">
        <f>SUM(E105:E107)</f>
        <v>1116313</v>
      </c>
      <c r="F108" s="3">
        <f>SUM(F105:F107)</f>
        <v>1326845</v>
      </c>
    </row>
    <row r="109" spans="1:6" ht="18" customHeight="1">
      <c r="A109" s="5" t="s">
        <v>62</v>
      </c>
      <c r="B109" s="1">
        <v>482570</v>
      </c>
      <c r="C109" s="1">
        <v>558390</v>
      </c>
      <c r="D109" s="1">
        <v>551208</v>
      </c>
      <c r="E109" s="1">
        <f>540450+1500</f>
        <v>541950</v>
      </c>
      <c r="F109" s="1">
        <v>559000</v>
      </c>
    </row>
    <row r="110" spans="1:6" ht="18" customHeight="1">
      <c r="A110" s="5" t="s">
        <v>63</v>
      </c>
      <c r="B110" s="1">
        <v>28326</v>
      </c>
      <c r="C110" s="1">
        <v>18621</v>
      </c>
      <c r="D110" s="1">
        <v>5809</v>
      </c>
      <c r="E110" s="1">
        <v>27950</v>
      </c>
      <c r="F110" s="1">
        <v>30050</v>
      </c>
    </row>
    <row r="111" spans="1:6" ht="18" customHeight="1">
      <c r="A111" s="5" t="s">
        <v>65</v>
      </c>
      <c r="B111" s="1">
        <v>39354</v>
      </c>
      <c r="C111" s="1">
        <v>50743</v>
      </c>
      <c r="D111" s="1">
        <v>50234</v>
      </c>
      <c r="E111" s="1">
        <v>52487</v>
      </c>
      <c r="F111" s="1">
        <v>55384</v>
      </c>
    </row>
    <row r="112" spans="1:6" ht="18" customHeight="1">
      <c r="A112" s="5" t="s">
        <v>67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</row>
    <row r="113" spans="1:6" ht="18" customHeight="1">
      <c r="A113" s="5" t="s">
        <v>68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</row>
    <row r="114" spans="1:6" ht="18" customHeight="1">
      <c r="A114" s="3" t="s">
        <v>73</v>
      </c>
      <c r="B114" s="3">
        <f>B104+B108+SUM(B109:B113)</f>
        <v>2442232</v>
      </c>
      <c r="C114" s="3">
        <f>C104+C108+SUM(C109:C113)</f>
        <v>2985876</v>
      </c>
      <c r="D114" s="3">
        <f>D104+D108+SUM(D109:D113)</f>
        <v>3419026</v>
      </c>
      <c r="E114" s="3">
        <f>E104+E108+SUM(E109:E113)</f>
        <v>3737831</v>
      </c>
      <c r="F114" s="3">
        <f>F104+F108+SUM(F109:F113)</f>
        <v>4172446</v>
      </c>
    </row>
    <row r="115" ht="18" customHeight="1">
      <c r="A115" s="3"/>
    </row>
    <row r="116" ht="18" customHeight="1">
      <c r="A116" s="3" t="s">
        <v>74</v>
      </c>
    </row>
    <row r="117" spans="1:6" ht="18" customHeight="1">
      <c r="A117" s="5" t="s">
        <v>75</v>
      </c>
      <c r="B117" s="1">
        <v>459731</v>
      </c>
      <c r="C117" s="1">
        <v>496914</v>
      </c>
      <c r="D117" s="1">
        <v>508946</v>
      </c>
      <c r="E117" s="1">
        <v>553488</v>
      </c>
      <c r="F117" s="1">
        <v>610826</v>
      </c>
    </row>
    <row r="118" spans="1:6" ht="18" customHeight="1">
      <c r="A118" s="3" t="s">
        <v>57</v>
      </c>
      <c r="B118" s="3">
        <f>B117</f>
        <v>459731</v>
      </c>
      <c r="C118" s="3">
        <f>C117</f>
        <v>496914</v>
      </c>
      <c r="D118" s="3">
        <f>D117</f>
        <v>508946</v>
      </c>
      <c r="E118" s="3">
        <f>E117</f>
        <v>553488</v>
      </c>
      <c r="F118" s="3">
        <f>F117</f>
        <v>610826</v>
      </c>
    </row>
    <row r="119" spans="1:6" ht="18" customHeight="1">
      <c r="A119" s="5" t="s">
        <v>58</v>
      </c>
      <c r="B119" s="1">
        <v>111857</v>
      </c>
      <c r="C119" s="1">
        <v>120417</v>
      </c>
      <c r="D119" s="1">
        <v>312210</v>
      </c>
      <c r="E119" s="1">
        <v>134774</v>
      </c>
      <c r="F119" s="1">
        <v>135054</v>
      </c>
    </row>
    <row r="120" spans="1:6" ht="18" customHeight="1">
      <c r="A120" s="5" t="s">
        <v>59</v>
      </c>
      <c r="B120" s="1">
        <v>35142</v>
      </c>
      <c r="C120" s="1">
        <v>37831</v>
      </c>
      <c r="D120" s="1">
        <v>112545</v>
      </c>
      <c r="E120" s="1">
        <v>42342</v>
      </c>
      <c r="F120" s="1">
        <v>46728</v>
      </c>
    </row>
    <row r="121" spans="1:6" ht="18" customHeight="1">
      <c r="A121" s="5" t="s">
        <v>60</v>
      </c>
      <c r="B121" s="1">
        <v>148428</v>
      </c>
      <c r="C121" s="1">
        <v>152040</v>
      </c>
      <c r="D121" s="1">
        <v>147708</v>
      </c>
      <c r="E121" s="1">
        <v>146526</v>
      </c>
      <c r="F121" s="1">
        <v>176340</v>
      </c>
    </row>
    <row r="122" spans="1:6" ht="18" customHeight="1">
      <c r="A122" s="3" t="s">
        <v>61</v>
      </c>
      <c r="B122" s="3">
        <f>SUM(B119:B121)</f>
        <v>295427</v>
      </c>
      <c r="C122" s="3">
        <f>SUM(C119:C121)</f>
        <v>310288</v>
      </c>
      <c r="D122" s="3">
        <f>SUM(D119:D121)</f>
        <v>572463</v>
      </c>
      <c r="E122" s="3">
        <f>SUM(E119:E121)</f>
        <v>323642</v>
      </c>
      <c r="F122" s="3">
        <f>SUM(F119:F121)</f>
        <v>358122</v>
      </c>
    </row>
    <row r="123" spans="1:6" ht="18" customHeight="1">
      <c r="A123" s="5" t="s">
        <v>62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</row>
    <row r="124" spans="1:6" ht="18" customHeight="1">
      <c r="A124" s="5" t="s">
        <v>63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</row>
    <row r="125" spans="1:6" ht="18" customHeight="1">
      <c r="A125" s="5" t="s">
        <v>65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</row>
    <row r="126" spans="1:6" ht="18" customHeight="1">
      <c r="A126" s="5" t="s">
        <v>67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</row>
    <row r="127" spans="1:6" ht="18" customHeight="1">
      <c r="A127" s="5" t="s">
        <v>68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</row>
    <row r="128" spans="1:6" ht="18" customHeight="1">
      <c r="A128" s="3" t="s">
        <v>76</v>
      </c>
      <c r="B128" s="3">
        <f>B118+B122+SUM(B123:B127)</f>
        <v>755158</v>
      </c>
      <c r="C128" s="3">
        <f>C118+C122+SUM(C123:C127)</f>
        <v>807202</v>
      </c>
      <c r="D128" s="3">
        <f>D118+D122+SUM(D123:D127)</f>
        <v>1081409</v>
      </c>
      <c r="E128" s="3">
        <f>E118+E122+SUM(E123:E127)</f>
        <v>877130</v>
      </c>
      <c r="F128" s="3">
        <f>F118+F122+SUM(F123:F127)</f>
        <v>968948</v>
      </c>
    </row>
    <row r="129" ht="18" customHeight="1">
      <c r="A129" s="3"/>
    </row>
    <row r="130" ht="18" customHeight="1">
      <c r="A130" s="3" t="s">
        <v>77</v>
      </c>
    </row>
    <row r="131" spans="1:6" ht="18" customHeight="1">
      <c r="A131" s="5" t="s">
        <v>78</v>
      </c>
      <c r="B131" s="1">
        <v>714339</v>
      </c>
      <c r="C131" s="1">
        <v>1078252</v>
      </c>
      <c r="D131" s="1">
        <f>198520+845974</f>
        <v>1044494</v>
      </c>
      <c r="E131" s="1">
        <v>1129905</v>
      </c>
      <c r="F131" s="1">
        <f>234739+990115</f>
        <v>1224854</v>
      </c>
    </row>
    <row r="132" spans="1:6" ht="18" customHeight="1">
      <c r="A132" s="5" t="s">
        <v>79</v>
      </c>
      <c r="B132" s="1">
        <v>283445</v>
      </c>
      <c r="C132" s="1">
        <v>326504</v>
      </c>
      <c r="D132" s="1">
        <v>364348</v>
      </c>
      <c r="E132" s="1">
        <v>393496</v>
      </c>
      <c r="F132" s="1">
        <v>470758</v>
      </c>
    </row>
    <row r="133" spans="1:6" ht="18" customHeight="1">
      <c r="A133" s="3" t="s">
        <v>57</v>
      </c>
      <c r="B133" s="3">
        <f>B132+B131</f>
        <v>997784</v>
      </c>
      <c r="C133" s="3">
        <f>C132+C131</f>
        <v>1404756</v>
      </c>
      <c r="D133" s="3">
        <f>D132+D131</f>
        <v>1408842</v>
      </c>
      <c r="E133" s="3">
        <f>E132+E131</f>
        <v>1523401</v>
      </c>
      <c r="F133" s="3">
        <f>F132+F131</f>
        <v>1695612</v>
      </c>
    </row>
    <row r="134" spans="1:6" ht="18" customHeight="1">
      <c r="A134" s="5" t="s">
        <v>58</v>
      </c>
      <c r="B134" s="1">
        <v>234621</v>
      </c>
      <c r="C134" s="1">
        <v>353923</v>
      </c>
      <c r="D134" s="1">
        <v>347909</v>
      </c>
      <c r="E134" s="1">
        <v>370948</v>
      </c>
      <c r="F134" s="1">
        <v>401690</v>
      </c>
    </row>
    <row r="135" spans="1:6" ht="18" customHeight="1">
      <c r="A135" s="5" t="s">
        <v>59</v>
      </c>
      <c r="B135" s="1">
        <v>73711</v>
      </c>
      <c r="C135" s="1">
        <v>110573</v>
      </c>
      <c r="D135" s="1">
        <v>109302</v>
      </c>
      <c r="E135" s="1">
        <v>116540</v>
      </c>
      <c r="F135" s="1">
        <v>129714</v>
      </c>
    </row>
    <row r="136" spans="1:6" ht="18" customHeight="1">
      <c r="A136" s="5" t="s">
        <v>60</v>
      </c>
      <c r="B136" s="1">
        <v>229392</v>
      </c>
      <c r="C136" s="1">
        <v>373044</v>
      </c>
      <c r="D136" s="1">
        <v>357924</v>
      </c>
      <c r="E136" s="1">
        <v>355061</v>
      </c>
      <c r="F136" s="1">
        <v>453733</v>
      </c>
    </row>
    <row r="137" spans="1:6" ht="18" customHeight="1">
      <c r="A137" s="3" t="s">
        <v>61</v>
      </c>
      <c r="B137" s="3">
        <f>SUM(B134:B136)</f>
        <v>537724</v>
      </c>
      <c r="C137" s="3">
        <f>SUM(C134:C136)</f>
        <v>837540</v>
      </c>
      <c r="D137" s="3">
        <f>SUM(D134:D136)</f>
        <v>815135</v>
      </c>
      <c r="E137" s="3">
        <f>SUM(E134:E136)</f>
        <v>842549</v>
      </c>
      <c r="F137" s="3">
        <f>SUM(F134:F136)</f>
        <v>985137</v>
      </c>
    </row>
    <row r="138" spans="1:6" ht="18" customHeight="1">
      <c r="A138" s="5" t="s">
        <v>62</v>
      </c>
      <c r="B138" s="1">
        <v>26073</v>
      </c>
      <c r="C138" s="1">
        <v>39019</v>
      </c>
      <c r="D138" s="1">
        <v>58863</v>
      </c>
      <c r="E138" s="1">
        <v>130000</v>
      </c>
      <c r="F138" s="1">
        <v>103500</v>
      </c>
    </row>
    <row r="139" spans="1:6" ht="18" customHeight="1">
      <c r="A139" s="5" t="s">
        <v>63</v>
      </c>
      <c r="B139" s="1">
        <v>148965</v>
      </c>
      <c r="C139" s="1">
        <v>155895</v>
      </c>
      <c r="D139" s="1">
        <v>139131</v>
      </c>
      <c r="E139" s="1">
        <v>201800</v>
      </c>
      <c r="F139" s="1">
        <v>190243</v>
      </c>
    </row>
    <row r="140" spans="1:6" ht="18" customHeight="1">
      <c r="A140" s="5" t="s">
        <v>65</v>
      </c>
      <c r="B140" s="1">
        <v>29308</v>
      </c>
      <c r="C140" s="1">
        <v>41123</v>
      </c>
      <c r="D140" s="1">
        <v>75996</v>
      </c>
      <c r="E140" s="1">
        <v>72500</v>
      </c>
      <c r="F140" s="1">
        <v>72500</v>
      </c>
    </row>
    <row r="141" spans="1:6" ht="18" customHeight="1">
      <c r="A141" s="5" t="s">
        <v>67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</row>
    <row r="142" spans="1:6" ht="18" customHeight="1">
      <c r="A142" s="5" t="s">
        <v>68</v>
      </c>
      <c r="B142" s="1">
        <v>28659</v>
      </c>
      <c r="C142" s="1">
        <v>24491</v>
      </c>
      <c r="D142" s="1">
        <v>32084</v>
      </c>
      <c r="E142" s="1">
        <v>31000</v>
      </c>
      <c r="F142" s="1">
        <v>33000</v>
      </c>
    </row>
    <row r="143" spans="1:6" ht="18" customHeight="1">
      <c r="A143" s="3" t="s">
        <v>80</v>
      </c>
      <c r="B143" s="3">
        <f>B133+B137+SUM(B138:B142)</f>
        <v>1768513</v>
      </c>
      <c r="C143" s="3">
        <f>C133+C137+SUM(C138:C142)</f>
        <v>2502824</v>
      </c>
      <c r="D143" s="3">
        <f>D133+D137+SUM(D138:D142)</f>
        <v>2530051</v>
      </c>
      <c r="E143" s="3">
        <f>E133+E137+SUM(E138:E142)</f>
        <v>2801250</v>
      </c>
      <c r="F143" s="3">
        <f>F133+F137+SUM(F138:F142)</f>
        <v>3079992</v>
      </c>
    </row>
    <row r="144" ht="18" customHeight="1">
      <c r="A144" s="3"/>
    </row>
    <row r="145" ht="18" customHeight="1">
      <c r="A145" s="3" t="s">
        <v>81</v>
      </c>
    </row>
    <row r="146" spans="1:6" ht="18" customHeight="1">
      <c r="A146" s="5" t="s">
        <v>78</v>
      </c>
      <c r="B146" s="1">
        <v>1484194</v>
      </c>
      <c r="C146" s="1">
        <v>1558561</v>
      </c>
      <c r="D146" s="1">
        <v>1698425</v>
      </c>
      <c r="E146" s="1">
        <v>1910534</v>
      </c>
      <c r="F146" s="1">
        <v>2167707</v>
      </c>
    </row>
    <row r="147" spans="1:6" ht="18" customHeight="1">
      <c r="A147" s="5" t="s">
        <v>79</v>
      </c>
      <c r="B147" s="1">
        <v>707324</v>
      </c>
      <c r="C147" s="1">
        <v>764222</v>
      </c>
      <c r="D147" s="1">
        <v>823446</v>
      </c>
      <c r="E147" s="1">
        <v>907234</v>
      </c>
      <c r="F147" s="1">
        <v>1006525</v>
      </c>
    </row>
    <row r="148" spans="1:6" ht="18" customHeight="1">
      <c r="A148" s="3" t="s">
        <v>57</v>
      </c>
      <c r="B148" s="3">
        <f>B147+B146</f>
        <v>2191518</v>
      </c>
      <c r="C148" s="3">
        <f>C147+C146</f>
        <v>2322783</v>
      </c>
      <c r="D148" s="3">
        <f>D147+D146</f>
        <v>2521871</v>
      </c>
      <c r="E148" s="3">
        <f>E147+E146</f>
        <v>2817768</v>
      </c>
      <c r="F148" s="3">
        <f>F147+F146</f>
        <v>3174232</v>
      </c>
    </row>
    <row r="149" spans="1:6" ht="18" customHeight="1">
      <c r="A149" s="5" t="s">
        <v>58</v>
      </c>
      <c r="B149" s="1">
        <v>540358</v>
      </c>
      <c r="C149" s="1">
        <v>560385</v>
      </c>
      <c r="D149" s="1">
        <v>596682</v>
      </c>
      <c r="E149" s="1">
        <v>686127</v>
      </c>
      <c r="F149" s="1">
        <v>701823</v>
      </c>
    </row>
    <row r="150" spans="1:6" ht="18" customHeight="1">
      <c r="A150" s="5" t="s">
        <v>59</v>
      </c>
      <c r="B150" s="1">
        <v>169763</v>
      </c>
      <c r="C150" s="1">
        <v>176055</v>
      </c>
      <c r="D150" s="1">
        <v>187459</v>
      </c>
      <c r="E150" s="1">
        <v>215559</v>
      </c>
      <c r="F150" s="1">
        <v>242829</v>
      </c>
    </row>
    <row r="151" spans="1:6" ht="18" customHeight="1">
      <c r="A151" s="5" t="s">
        <v>60</v>
      </c>
      <c r="B151" s="1">
        <v>677148</v>
      </c>
      <c r="C151" s="1">
        <v>679104</v>
      </c>
      <c r="D151" s="1">
        <v>676806</v>
      </c>
      <c r="E151" s="1">
        <v>715392</v>
      </c>
      <c r="F151" s="1">
        <v>959020</v>
      </c>
    </row>
    <row r="152" spans="1:6" ht="18" customHeight="1">
      <c r="A152" s="3" t="s">
        <v>61</v>
      </c>
      <c r="B152" s="3">
        <f>SUM(B149:B151)</f>
        <v>1387269</v>
      </c>
      <c r="C152" s="3">
        <f>SUM(C149:C151)</f>
        <v>1415544</v>
      </c>
      <c r="D152" s="3">
        <f>SUM(D149:D151)</f>
        <v>1460947</v>
      </c>
      <c r="E152" s="3">
        <f>SUM(E149:E151)</f>
        <v>1617078</v>
      </c>
      <c r="F152" s="3">
        <f>SUM(F149:F151)</f>
        <v>1903672</v>
      </c>
    </row>
    <row r="153" spans="1:6" ht="18" customHeight="1">
      <c r="A153" s="5" t="s">
        <v>62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</row>
    <row r="154" spans="1:6" ht="18" customHeight="1">
      <c r="A154" s="5" t="s">
        <v>63</v>
      </c>
      <c r="B154" s="1">
        <v>38248</v>
      </c>
      <c r="C154" s="1">
        <v>5231</v>
      </c>
      <c r="D154" s="1">
        <v>33943</v>
      </c>
      <c r="E154" s="1">
        <v>44000</v>
      </c>
      <c r="F154" s="1">
        <v>44000</v>
      </c>
    </row>
    <row r="155" spans="1:6" ht="18" customHeight="1">
      <c r="A155" s="5" t="s">
        <v>65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</row>
    <row r="156" spans="1:6" ht="18" customHeight="1">
      <c r="A156" s="5" t="s">
        <v>67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</row>
    <row r="157" spans="1:6" ht="18" customHeight="1">
      <c r="A157" s="5" t="s">
        <v>68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</row>
    <row r="158" spans="1:6" ht="18" customHeight="1">
      <c r="A158" s="3" t="s">
        <v>82</v>
      </c>
      <c r="B158" s="3">
        <f>B148+B152+SUM(B153:B157)</f>
        <v>3617035</v>
      </c>
      <c r="C158" s="3">
        <f>C148+C152+SUM(C153:C157)</f>
        <v>3743558</v>
      </c>
      <c r="D158" s="3">
        <f>D148+D152+SUM(D153:D157)</f>
        <v>4016761</v>
      </c>
      <c r="E158" s="3">
        <f>E148+E152+SUM(E153:E157)</f>
        <v>4478846</v>
      </c>
      <c r="F158" s="3">
        <f>F148+F152+SUM(F153:F157)</f>
        <v>5121904</v>
      </c>
    </row>
    <row r="159" ht="18" customHeight="1">
      <c r="A159" s="3"/>
    </row>
    <row r="160" ht="18" customHeight="1">
      <c r="A160" s="3" t="s">
        <v>83</v>
      </c>
    </row>
    <row r="161" spans="1:6" ht="18" customHeight="1">
      <c r="A161" s="5" t="s">
        <v>84</v>
      </c>
      <c r="B161" s="1">
        <v>1280385</v>
      </c>
      <c r="C161" s="1">
        <v>1467374</v>
      </c>
      <c r="D161" s="1">
        <v>1483250</v>
      </c>
      <c r="E161" s="1">
        <v>1639222</v>
      </c>
      <c r="F161" s="1">
        <f>421993+70145+1395733</f>
        <v>1887871</v>
      </c>
    </row>
    <row r="162" spans="1:6" ht="18" customHeight="1">
      <c r="A162" s="3" t="s">
        <v>57</v>
      </c>
      <c r="B162" s="3">
        <f>B161</f>
        <v>1280385</v>
      </c>
      <c r="C162" s="3">
        <f>C161</f>
        <v>1467374</v>
      </c>
      <c r="D162" s="3">
        <f>D161</f>
        <v>1483250</v>
      </c>
      <c r="E162" s="3">
        <f>E161</f>
        <v>1639222</v>
      </c>
      <c r="F162" s="3">
        <f>F161</f>
        <v>1887871</v>
      </c>
    </row>
    <row r="163" spans="1:6" ht="18" customHeight="1">
      <c r="A163" s="5" t="s">
        <v>58</v>
      </c>
      <c r="B163" s="1">
        <v>315878</v>
      </c>
      <c r="C163" s="1">
        <v>357040</v>
      </c>
      <c r="D163" s="1">
        <v>347316</v>
      </c>
      <c r="E163" s="1">
        <v>399150</v>
      </c>
      <c r="F163" s="1">
        <f>116587+308597</f>
        <v>425184</v>
      </c>
    </row>
    <row r="164" spans="1:6" ht="18" customHeight="1">
      <c r="A164" s="5" t="s">
        <v>59</v>
      </c>
      <c r="B164" s="1">
        <v>99239</v>
      </c>
      <c r="C164" s="1">
        <v>112789</v>
      </c>
      <c r="D164" s="1">
        <v>109116</v>
      </c>
      <c r="E164" s="1">
        <v>125400</v>
      </c>
      <c r="F164" s="1">
        <f>37649+106774</f>
        <v>144423</v>
      </c>
    </row>
    <row r="165" spans="1:6" ht="18" customHeight="1">
      <c r="A165" s="5" t="s">
        <v>60</v>
      </c>
      <c r="B165" s="1">
        <v>311304</v>
      </c>
      <c r="C165" s="1">
        <v>341604</v>
      </c>
      <c r="D165" s="1">
        <v>324924</v>
      </c>
      <c r="E165" s="1">
        <v>322325</v>
      </c>
      <c r="F165" s="1">
        <f>88442+335718</f>
        <v>424160</v>
      </c>
    </row>
    <row r="166" spans="1:6" ht="18" customHeight="1">
      <c r="A166" s="3" t="s">
        <v>61</v>
      </c>
      <c r="B166" s="3">
        <f>SUM(B163:B165)</f>
        <v>726421</v>
      </c>
      <c r="C166" s="3">
        <f>SUM(C163:C165)</f>
        <v>811433</v>
      </c>
      <c r="D166" s="3">
        <f>SUM(D163:D165)</f>
        <v>781356</v>
      </c>
      <c r="E166" s="3">
        <f>SUM(E163:E165)</f>
        <v>846875</v>
      </c>
      <c r="F166" s="3">
        <f>SUM(F163:F165)</f>
        <v>993767</v>
      </c>
    </row>
    <row r="167" spans="1:6" ht="18" customHeight="1">
      <c r="A167" s="5" t="s">
        <v>62</v>
      </c>
      <c r="B167" s="1">
        <v>38500</v>
      </c>
      <c r="C167" s="1">
        <v>39500</v>
      </c>
      <c r="D167" s="1">
        <v>30000</v>
      </c>
      <c r="E167" s="1">
        <v>41500</v>
      </c>
      <c r="F167" s="1">
        <v>42500</v>
      </c>
    </row>
    <row r="168" spans="1:6" ht="18" customHeight="1">
      <c r="A168" s="5" t="s">
        <v>63</v>
      </c>
      <c r="B168" s="1">
        <v>1780</v>
      </c>
      <c r="C168" s="1">
        <v>10318</v>
      </c>
      <c r="D168" s="1">
        <v>1324</v>
      </c>
      <c r="E168" s="1">
        <v>5000</v>
      </c>
      <c r="F168" s="1">
        <v>7500</v>
      </c>
    </row>
    <row r="169" spans="1:6" ht="18" customHeight="1">
      <c r="A169" s="5" t="s">
        <v>65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</row>
    <row r="170" spans="1:6" ht="18" customHeight="1">
      <c r="A170" s="5" t="s">
        <v>67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</row>
    <row r="171" spans="1:6" ht="18" customHeight="1">
      <c r="A171" s="5" t="s">
        <v>68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</row>
    <row r="172" spans="1:6" ht="18" customHeight="1">
      <c r="A172" s="3" t="s">
        <v>85</v>
      </c>
      <c r="B172" s="3">
        <f>B162+B166+SUM(B167:B171)</f>
        <v>2047086</v>
      </c>
      <c r="C172" s="3">
        <f>C162+C166+SUM(C167:C171)</f>
        <v>2328625</v>
      </c>
      <c r="D172" s="3">
        <f>D162+D166+SUM(D167:D171)</f>
        <v>2295930</v>
      </c>
      <c r="E172" s="3">
        <f>E162+E166+SUM(E167:E171)</f>
        <v>2532597</v>
      </c>
      <c r="F172" s="3">
        <f>F162+F166+SUM(F167:F171)</f>
        <v>2931638</v>
      </c>
    </row>
    <row r="173" ht="18" customHeight="1">
      <c r="A173" s="3"/>
    </row>
    <row r="174" ht="18" customHeight="1">
      <c r="A174" s="3" t="s">
        <v>86</v>
      </c>
    </row>
    <row r="175" spans="1:6" ht="18" customHeight="1">
      <c r="A175" s="5" t="s">
        <v>87</v>
      </c>
      <c r="B175" s="1">
        <v>1873569</v>
      </c>
      <c r="C175" s="1">
        <v>2005429</v>
      </c>
      <c r="D175" s="1">
        <v>2233527</v>
      </c>
      <c r="E175" s="1">
        <v>2359580</v>
      </c>
      <c r="F175" s="1">
        <v>2592449</v>
      </c>
    </row>
    <row r="176" spans="1:6" ht="18" customHeight="1">
      <c r="A176" s="3" t="s">
        <v>57</v>
      </c>
      <c r="B176" s="3">
        <f>B175</f>
        <v>1873569</v>
      </c>
      <c r="C176" s="3">
        <f>C175</f>
        <v>2005429</v>
      </c>
      <c r="D176" s="3">
        <f>D175</f>
        <v>2233527</v>
      </c>
      <c r="E176" s="3">
        <f>E175</f>
        <v>2359580</v>
      </c>
      <c r="F176" s="3">
        <f>F175</f>
        <v>2592449</v>
      </c>
    </row>
    <row r="177" spans="1:6" ht="18" customHeight="1">
      <c r="A177" s="5" t="s">
        <v>58</v>
      </c>
      <c r="B177" s="1">
        <v>456908</v>
      </c>
      <c r="C177" s="1">
        <v>490259</v>
      </c>
      <c r="D177" s="1">
        <v>530623</v>
      </c>
      <c r="E177" s="1">
        <v>574558</v>
      </c>
      <c r="F177" s="1">
        <v>573190</v>
      </c>
    </row>
    <row r="178" spans="1:6" ht="18" customHeight="1">
      <c r="A178" s="5" t="s">
        <v>59</v>
      </c>
      <c r="B178" s="1">
        <v>143546</v>
      </c>
      <c r="C178" s="1">
        <v>154024</v>
      </c>
      <c r="D178" s="1">
        <v>166705</v>
      </c>
      <c r="E178" s="1">
        <v>180508</v>
      </c>
      <c r="F178" s="1">
        <v>198322</v>
      </c>
    </row>
    <row r="179" spans="1:6" ht="18" customHeight="1">
      <c r="A179" s="5" t="s">
        <v>60</v>
      </c>
      <c r="B179" s="1">
        <v>628890</v>
      </c>
      <c r="C179" s="1">
        <v>607740</v>
      </c>
      <c r="D179" s="1">
        <v>571212</v>
      </c>
      <c r="E179" s="1">
        <v>566642</v>
      </c>
      <c r="F179" s="1">
        <v>738682</v>
      </c>
    </row>
    <row r="180" spans="1:6" ht="18" customHeight="1">
      <c r="A180" s="3" t="s">
        <v>61</v>
      </c>
      <c r="B180" s="3">
        <f>SUM(B177:B179)</f>
        <v>1229344</v>
      </c>
      <c r="C180" s="3">
        <f>SUM(C177:C179)</f>
        <v>1252023</v>
      </c>
      <c r="D180" s="3">
        <f>SUM(D177:D179)</f>
        <v>1268540</v>
      </c>
      <c r="E180" s="3">
        <f>SUM(E177:E179)</f>
        <v>1321708</v>
      </c>
      <c r="F180" s="3">
        <f>SUM(F177:F179)</f>
        <v>1510194</v>
      </c>
    </row>
    <row r="181" spans="1:6" ht="18" customHeight="1">
      <c r="A181" s="5" t="s">
        <v>62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</row>
    <row r="182" spans="1:6" ht="18" customHeight="1">
      <c r="A182" s="5" t="s">
        <v>88</v>
      </c>
      <c r="B182" s="1">
        <v>161538</v>
      </c>
      <c r="C182" s="1">
        <v>160463</v>
      </c>
      <c r="D182" s="1">
        <v>181268</v>
      </c>
      <c r="E182" s="1">
        <v>188134</v>
      </c>
      <c r="F182" s="1">
        <v>188008</v>
      </c>
    </row>
    <row r="183" spans="1:6" ht="18" customHeight="1">
      <c r="A183" s="5" t="s">
        <v>63</v>
      </c>
      <c r="B183" s="1">
        <v>180606</v>
      </c>
      <c r="C183" s="1">
        <v>209093</v>
      </c>
      <c r="D183" s="1">
        <v>387782</v>
      </c>
      <c r="E183" s="1">
        <v>272500</v>
      </c>
      <c r="F183" s="1">
        <v>229163</v>
      </c>
    </row>
    <row r="184" spans="1:6" ht="18" customHeight="1">
      <c r="A184" s="5" t="s">
        <v>65</v>
      </c>
      <c r="B184" s="1">
        <v>1198681</v>
      </c>
      <c r="C184" s="1">
        <v>1283502</v>
      </c>
      <c r="D184" s="1">
        <v>1338096</v>
      </c>
      <c r="E184" s="1">
        <v>1461187</v>
      </c>
      <c r="F184" s="1">
        <v>1635120</v>
      </c>
    </row>
    <row r="185" spans="1:6" ht="18" customHeight="1">
      <c r="A185" s="5" t="s">
        <v>67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</row>
    <row r="186" spans="1:6" ht="18" customHeight="1">
      <c r="A186" s="5" t="s">
        <v>68</v>
      </c>
      <c r="B186" s="1">
        <v>1350</v>
      </c>
      <c r="C186" s="1">
        <v>1041</v>
      </c>
      <c r="D186" s="1">
        <v>1963</v>
      </c>
      <c r="E186" s="1">
        <v>1500</v>
      </c>
      <c r="F186" s="1">
        <v>2250</v>
      </c>
    </row>
    <row r="187" spans="1:6" ht="18" customHeight="1">
      <c r="A187" s="3" t="s">
        <v>89</v>
      </c>
      <c r="B187" s="3">
        <f>B176+B180+SUM(B181:B186)</f>
        <v>4645088</v>
      </c>
      <c r="C187" s="3">
        <f>C176+C180+SUM(C181:C186)</f>
        <v>4911551</v>
      </c>
      <c r="D187" s="3">
        <f>D176+D180+SUM(D181:D186)</f>
        <v>5411176</v>
      </c>
      <c r="E187" s="3">
        <f>E176+E180+SUM(E181:E186)</f>
        <v>5604609</v>
      </c>
      <c r="F187" s="3">
        <f>F176+F180+SUM(F181:F186)</f>
        <v>6157184</v>
      </c>
    </row>
    <row r="188" ht="18" customHeight="1">
      <c r="A188" s="3"/>
    </row>
    <row r="189" ht="18" customHeight="1">
      <c r="A189" s="3" t="s">
        <v>90</v>
      </c>
    </row>
    <row r="190" spans="1:6" ht="18" customHeight="1">
      <c r="A190" s="5" t="s">
        <v>91</v>
      </c>
      <c r="B190" s="1">
        <v>115261</v>
      </c>
      <c r="C190" s="1">
        <v>122811</v>
      </c>
      <c r="D190" s="1">
        <v>128788</v>
      </c>
      <c r="E190" s="1">
        <v>260992</v>
      </c>
      <c r="F190" s="1">
        <v>188332</v>
      </c>
    </row>
    <row r="191" spans="1:6" ht="18" customHeight="1">
      <c r="A191" s="5" t="s">
        <v>92</v>
      </c>
      <c r="B191" s="1">
        <v>585736</v>
      </c>
      <c r="C191" s="1">
        <v>604176</v>
      </c>
      <c r="D191" s="1">
        <v>509304</v>
      </c>
      <c r="E191" s="1">
        <v>558642</v>
      </c>
      <c r="F191" s="1">
        <v>674980</v>
      </c>
    </row>
    <row r="192" spans="1:6" ht="18" customHeight="1">
      <c r="A192" s="5" t="s">
        <v>93</v>
      </c>
      <c r="B192" s="1">
        <v>179830</v>
      </c>
      <c r="C192" s="1">
        <v>193155</v>
      </c>
      <c r="D192" s="1">
        <v>198788</v>
      </c>
      <c r="E192" s="1">
        <v>249251</v>
      </c>
      <c r="F192" s="1">
        <v>238889</v>
      </c>
    </row>
    <row r="193" spans="1:6" ht="18" customHeight="1">
      <c r="A193" s="5" t="s">
        <v>94</v>
      </c>
      <c r="B193" s="1">
        <v>150193</v>
      </c>
      <c r="C193" s="1">
        <v>81044</v>
      </c>
      <c r="D193" s="1">
        <v>107658</v>
      </c>
      <c r="E193" s="1">
        <v>169645</v>
      </c>
      <c r="F193" s="1">
        <v>137024</v>
      </c>
    </row>
    <row r="194" spans="1:6" ht="18" customHeight="1">
      <c r="A194" s="3" t="s">
        <v>57</v>
      </c>
      <c r="B194" s="3">
        <f>SUM(B190:B193)</f>
        <v>1031020</v>
      </c>
      <c r="C194" s="3">
        <f>SUM(C190:C193)</f>
        <v>1001186</v>
      </c>
      <c r="D194" s="3">
        <f>SUM(D190:D193)</f>
        <v>944538</v>
      </c>
      <c r="E194" s="3">
        <f>SUM(E190:E193)</f>
        <v>1238530</v>
      </c>
      <c r="F194" s="3">
        <f>SUM(F190:F193)</f>
        <v>1239225</v>
      </c>
    </row>
    <row r="195" spans="1:6" ht="18" customHeight="1">
      <c r="A195" s="5" t="s">
        <v>58</v>
      </c>
      <c r="B195" s="1">
        <v>241765</v>
      </c>
      <c r="C195" s="1">
        <v>257195</v>
      </c>
      <c r="D195" s="1">
        <v>232034</v>
      </c>
      <c r="E195" s="1">
        <v>301582</v>
      </c>
      <c r="F195" s="1">
        <v>273993</v>
      </c>
    </row>
    <row r="196" spans="1:6" ht="18" customHeight="1">
      <c r="A196" s="5" t="s">
        <v>59</v>
      </c>
      <c r="B196" s="1">
        <v>75955</v>
      </c>
      <c r="C196" s="1">
        <v>80803</v>
      </c>
      <c r="D196" s="1">
        <v>72898</v>
      </c>
      <c r="E196" s="1">
        <v>94748</v>
      </c>
      <c r="F196" s="1">
        <v>94801</v>
      </c>
    </row>
    <row r="197" spans="1:6" ht="18" customHeight="1">
      <c r="A197" s="5" t="s">
        <v>60</v>
      </c>
      <c r="B197" s="1">
        <v>329688</v>
      </c>
      <c r="C197" s="1">
        <v>304300</v>
      </c>
      <c r="D197" s="1">
        <v>258213</v>
      </c>
      <c r="E197" s="1">
        <v>256147</v>
      </c>
      <c r="F197" s="1">
        <v>290193</v>
      </c>
    </row>
    <row r="198" spans="1:6" ht="18" customHeight="1">
      <c r="A198" s="3" t="s">
        <v>61</v>
      </c>
      <c r="B198" s="3">
        <f>SUM(B195:B197)</f>
        <v>647408</v>
      </c>
      <c r="C198" s="3">
        <f>SUM(C195:C197)</f>
        <v>642298</v>
      </c>
      <c r="D198" s="3">
        <f>SUM(D195:D197)</f>
        <v>563145</v>
      </c>
      <c r="E198" s="3">
        <f>SUM(E195:E197)</f>
        <v>652477</v>
      </c>
      <c r="F198" s="3">
        <f>SUM(F195:F197)</f>
        <v>658987</v>
      </c>
    </row>
    <row r="199" spans="1:6" ht="18" customHeight="1">
      <c r="A199" s="5" t="s">
        <v>95</v>
      </c>
      <c r="B199" s="1">
        <v>3916</v>
      </c>
      <c r="C199" s="1">
        <v>1035</v>
      </c>
      <c r="D199" s="1">
        <v>1652</v>
      </c>
      <c r="E199" s="1">
        <v>5000</v>
      </c>
      <c r="F199" s="1">
        <v>2250</v>
      </c>
    </row>
    <row r="200" spans="1:6" ht="18" customHeight="1">
      <c r="A200" s="5" t="s">
        <v>96</v>
      </c>
      <c r="B200" s="1">
        <v>10800</v>
      </c>
      <c r="C200" s="1">
        <v>11700</v>
      </c>
      <c r="D200" s="1">
        <v>13421</v>
      </c>
      <c r="E200" s="1">
        <v>13500</v>
      </c>
      <c r="F200" s="1">
        <v>16750</v>
      </c>
    </row>
    <row r="201" spans="1:6" ht="18" customHeight="1">
      <c r="A201" s="5" t="s">
        <v>97</v>
      </c>
      <c r="B201" s="1">
        <v>197032</v>
      </c>
      <c r="C201" s="1">
        <v>144729</v>
      </c>
      <c r="D201" s="1">
        <v>147869</v>
      </c>
      <c r="E201" s="1">
        <v>311857</v>
      </c>
      <c r="F201" s="1">
        <v>276100</v>
      </c>
    </row>
    <row r="202" spans="1:6" ht="18" customHeight="1">
      <c r="A202" s="5" t="s">
        <v>98</v>
      </c>
      <c r="B202" s="1">
        <v>47378</v>
      </c>
      <c r="C202" s="1">
        <v>24079</v>
      </c>
      <c r="D202" s="1">
        <v>24107</v>
      </c>
      <c r="E202" s="1">
        <f>39709</f>
        <v>39709</v>
      </c>
      <c r="F202" s="1">
        <v>30104</v>
      </c>
    </row>
    <row r="203" spans="1:6" ht="18" customHeight="1">
      <c r="A203" s="5" t="s">
        <v>99</v>
      </c>
      <c r="B203" s="1">
        <v>213490</v>
      </c>
      <c r="C203" s="1">
        <v>170762</v>
      </c>
      <c r="D203" s="1">
        <f>19047+13868+15468+107522</f>
        <v>155905</v>
      </c>
      <c r="E203" s="1">
        <f>19025+15000+27500+147500+1000</f>
        <v>210025</v>
      </c>
      <c r="F203" s="1">
        <f>25750+15000+22500+132500+1000</f>
        <v>196750</v>
      </c>
    </row>
    <row r="204" spans="1:6" ht="18" customHeight="1">
      <c r="A204" s="5" t="s">
        <v>67</v>
      </c>
      <c r="B204" s="1">
        <v>15182</v>
      </c>
      <c r="C204" s="1">
        <v>15030</v>
      </c>
      <c r="D204" s="1">
        <v>15350</v>
      </c>
      <c r="E204" s="1">
        <v>15000</v>
      </c>
      <c r="F204" s="1">
        <v>20750</v>
      </c>
    </row>
    <row r="205" spans="1:6" ht="18" customHeight="1">
      <c r="A205" s="5" t="s">
        <v>100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</row>
    <row r="206" spans="1:6" ht="18" customHeight="1">
      <c r="A206" s="5" t="s">
        <v>68</v>
      </c>
      <c r="B206" s="1">
        <v>12881</v>
      </c>
      <c r="C206" s="1">
        <v>18063</v>
      </c>
      <c r="D206" s="1">
        <v>8337</v>
      </c>
      <c r="E206" s="1">
        <v>12750</v>
      </c>
      <c r="F206" s="1">
        <v>12500</v>
      </c>
    </row>
    <row r="207" spans="1:6" ht="18" customHeight="1">
      <c r="A207" s="3" t="s">
        <v>101</v>
      </c>
      <c r="B207" s="3">
        <f>B194+B198+SUM(B199:B206)</f>
        <v>2179107</v>
      </c>
      <c r="C207" s="3">
        <f>C194+C198+SUM(C199:C206)</f>
        <v>2028882</v>
      </c>
      <c r="D207" s="3">
        <f>D194+D198+SUM(D199:D206)</f>
        <v>1874324</v>
      </c>
      <c r="E207" s="3">
        <f>E194+E198+SUM(E199:E206)</f>
        <v>2498848</v>
      </c>
      <c r="F207" s="3">
        <f>F194+F198+SUM(F199:F206)</f>
        <v>2453416</v>
      </c>
    </row>
    <row r="208" ht="18" customHeight="1">
      <c r="A208" s="3"/>
    </row>
    <row r="209" ht="18" customHeight="1">
      <c r="A209" s="3" t="s">
        <v>172</v>
      </c>
    </row>
    <row r="210" spans="1:6" ht="18" customHeight="1">
      <c r="A210" s="1" t="s">
        <v>56</v>
      </c>
      <c r="B210" s="1">
        <v>493320</v>
      </c>
      <c r="C210" s="1">
        <v>431518</v>
      </c>
      <c r="D210" s="1">
        <v>385051</v>
      </c>
      <c r="E210" s="1">
        <v>482516</v>
      </c>
      <c r="F210" s="1">
        <v>433485</v>
      </c>
    </row>
    <row r="211" spans="1:6" ht="18" customHeight="1">
      <c r="A211" s="3" t="s">
        <v>57</v>
      </c>
      <c r="B211" s="3">
        <f>B210</f>
        <v>493320</v>
      </c>
      <c r="C211" s="3">
        <f>C210</f>
        <v>431518</v>
      </c>
      <c r="D211" s="3">
        <f>D210</f>
        <v>385051</v>
      </c>
      <c r="E211" s="3">
        <f>E210</f>
        <v>482516</v>
      </c>
      <c r="F211" s="3">
        <f>F210</f>
        <v>433485</v>
      </c>
    </row>
    <row r="212" spans="1:6" ht="18" customHeight="1">
      <c r="A212" s="5" t="s">
        <v>58</v>
      </c>
      <c r="B212" s="1">
        <v>36826</v>
      </c>
      <c r="C212" s="1">
        <v>28352</v>
      </c>
      <c r="D212" s="1">
        <v>28573</v>
      </c>
      <c r="E212" s="1">
        <v>31386</v>
      </c>
      <c r="F212" s="1">
        <v>34838</v>
      </c>
    </row>
    <row r="213" spans="1:6" ht="18" customHeight="1">
      <c r="A213" s="5" t="s">
        <v>59</v>
      </c>
      <c r="B213" s="1">
        <v>38162</v>
      </c>
      <c r="C213" s="1">
        <v>34145</v>
      </c>
      <c r="D213" s="1">
        <v>23468</v>
      </c>
      <c r="E213" s="1">
        <v>36912</v>
      </c>
      <c r="F213" s="1">
        <v>33162</v>
      </c>
    </row>
    <row r="214" spans="1:6" ht="18" customHeight="1">
      <c r="A214" s="5" t="s">
        <v>60</v>
      </c>
      <c r="B214" s="1">
        <v>52416</v>
      </c>
      <c r="C214" s="1">
        <v>30888</v>
      </c>
      <c r="D214" s="1">
        <v>30036</v>
      </c>
      <c r="E214" s="1">
        <v>29796</v>
      </c>
      <c r="F214" s="1">
        <v>35875</v>
      </c>
    </row>
    <row r="215" spans="1:6" ht="18" customHeight="1">
      <c r="A215" s="3" t="s">
        <v>61</v>
      </c>
      <c r="B215" s="3">
        <f>SUM(B212:B214)</f>
        <v>127404</v>
      </c>
      <c r="C215" s="3">
        <f>SUM(C212:C214)</f>
        <v>93385</v>
      </c>
      <c r="D215" s="3">
        <f>SUM(D212:D214)</f>
        <v>82077</v>
      </c>
      <c r="E215" s="3">
        <f>SUM(E212:E214)</f>
        <v>98094</v>
      </c>
      <c r="F215" s="3">
        <f>SUM(F212:F214)</f>
        <v>103875</v>
      </c>
    </row>
    <row r="216" spans="1:6" ht="18" customHeight="1">
      <c r="A216" s="5" t="s">
        <v>62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</row>
    <row r="217" spans="1:6" ht="18" customHeight="1">
      <c r="A217" s="1" t="s">
        <v>88</v>
      </c>
      <c r="B217" s="1">
        <v>6908</v>
      </c>
      <c r="C217" s="1">
        <v>0</v>
      </c>
      <c r="D217" s="1">
        <v>0</v>
      </c>
      <c r="E217" s="1">
        <v>0</v>
      </c>
      <c r="F217" s="1">
        <v>0</v>
      </c>
    </row>
    <row r="218" spans="1:6" ht="18" customHeight="1">
      <c r="A218" s="5" t="s">
        <v>63</v>
      </c>
      <c r="B218" s="1">
        <v>2157</v>
      </c>
      <c r="C218" s="1">
        <v>380</v>
      </c>
      <c r="D218" s="1">
        <v>875</v>
      </c>
      <c r="E218" s="1">
        <v>875</v>
      </c>
      <c r="F218" s="1">
        <v>925</v>
      </c>
    </row>
    <row r="219" spans="1:6" ht="18" customHeight="1">
      <c r="A219" s="5" t="s">
        <v>65</v>
      </c>
      <c r="B219" s="1">
        <v>206085</v>
      </c>
      <c r="C219" s="1">
        <v>58707</v>
      </c>
      <c r="D219" s="1">
        <v>51634</v>
      </c>
      <c r="E219" s="1">
        <v>52500</v>
      </c>
      <c r="F219" s="1">
        <v>58750</v>
      </c>
    </row>
    <row r="220" spans="1:6" ht="18" customHeight="1">
      <c r="A220" s="5" t="s">
        <v>67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</row>
    <row r="221" spans="1:6" ht="18" customHeight="1">
      <c r="A221" s="5" t="s">
        <v>68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</row>
    <row r="222" spans="1:6" ht="18" customHeight="1">
      <c r="A222" s="3" t="s">
        <v>102</v>
      </c>
      <c r="B222" s="3">
        <f>B211+B215+SUM(B216:B221)</f>
        <v>835874</v>
      </c>
      <c r="C222" s="3">
        <f>C211+C215+SUM(C216:C221)</f>
        <v>583990</v>
      </c>
      <c r="D222" s="3">
        <f>D211+D215+SUM(D216:D221)</f>
        <v>519637</v>
      </c>
      <c r="E222" s="3">
        <f>E211+E215+SUM(E216:E221)</f>
        <v>633985</v>
      </c>
      <c r="F222" s="3">
        <f>F211+F215+SUM(F216:F221)</f>
        <v>597035</v>
      </c>
    </row>
    <row r="223" ht="18" customHeight="1">
      <c r="A223" s="3"/>
    </row>
    <row r="224" spans="1:6" ht="18" customHeight="1">
      <c r="A224" s="3" t="s">
        <v>194</v>
      </c>
      <c r="B224" s="3">
        <f>+B222+B207+B187+B172+B158+B143+B128+B114+B98</f>
        <v>62224276</v>
      </c>
      <c r="C224" s="3">
        <f>+C222+C207+C187+C172+C158+C143+C128+C114+C98</f>
        <v>67893361</v>
      </c>
      <c r="D224" s="3">
        <f>+D222+D207+D187+D172+D158+D143+D128+D114+D98</f>
        <v>79274710</v>
      </c>
      <c r="E224" s="3">
        <f>+E222+E207+E187+E172+E158+E143+E128+E114+E98</f>
        <v>88924841</v>
      </c>
      <c r="F224" s="3">
        <f>+F222+F207+F187+F172+F158+F143+F128+F114+F98</f>
        <v>95684498</v>
      </c>
    </row>
    <row r="225" ht="18" customHeight="1">
      <c r="A225" s="3"/>
    </row>
    <row r="226" ht="18" customHeight="1">
      <c r="A226" s="3" t="s">
        <v>103</v>
      </c>
    </row>
    <row r="227" ht="18" customHeight="1">
      <c r="A227" s="3" t="s">
        <v>104</v>
      </c>
    </row>
    <row r="228" spans="1:6" ht="18" customHeight="1">
      <c r="A228" s="5" t="s">
        <v>105</v>
      </c>
      <c r="B228" s="1">
        <f>B21</f>
        <v>34199903</v>
      </c>
      <c r="C228" s="1">
        <f>C21</f>
        <v>37953098</v>
      </c>
      <c r="D228" s="1">
        <f>D21</f>
        <v>43250924</v>
      </c>
      <c r="E228" s="1">
        <f>E21</f>
        <v>45007136</v>
      </c>
      <c r="F228" s="1">
        <f>F21</f>
        <v>49891882</v>
      </c>
    </row>
    <row r="229" spans="1:6" ht="18" customHeight="1">
      <c r="A229" s="5" t="s">
        <v>106</v>
      </c>
      <c r="B229" s="1">
        <f>B59</f>
        <v>27101445</v>
      </c>
      <c r="C229" s="1">
        <f>C59</f>
        <v>28894986</v>
      </c>
      <c r="D229" s="1">
        <f>D59</f>
        <v>37040054</v>
      </c>
      <c r="E229" s="1">
        <f>E59</f>
        <v>40507248</v>
      </c>
      <c r="F229" s="1">
        <f>F59</f>
        <v>41874019</v>
      </c>
    </row>
    <row r="230" spans="1:6" ht="18" customHeight="1">
      <c r="A230" s="5" t="s">
        <v>107</v>
      </c>
      <c r="B230" s="1">
        <f>B75</f>
        <v>3075104</v>
      </c>
      <c r="C230" s="1">
        <f>C75</f>
        <v>2338506</v>
      </c>
      <c r="D230" s="1">
        <f>D75</f>
        <v>3494751</v>
      </c>
      <c r="E230" s="1">
        <f>E75</f>
        <v>3410457</v>
      </c>
      <c r="F230" s="1">
        <f>F75</f>
        <v>3918597</v>
      </c>
    </row>
    <row r="231" spans="1:6" ht="18" customHeight="1">
      <c r="A231" s="3" t="s">
        <v>51</v>
      </c>
      <c r="B231" s="3">
        <f>SUM(B228:B230)</f>
        <v>64376452</v>
      </c>
      <c r="C231" s="3">
        <f>SUM(C228:C230)</f>
        <v>69186590</v>
      </c>
      <c r="D231" s="3">
        <f>SUM(D228:D230)</f>
        <v>83785729</v>
      </c>
      <c r="E231" s="3">
        <f>SUM(E228:E230)</f>
        <v>88924841</v>
      </c>
      <c r="F231" s="3">
        <f>SUM(F228:F230)</f>
        <v>95684498</v>
      </c>
    </row>
    <row r="232" ht="18" customHeight="1">
      <c r="A232" s="3"/>
    </row>
    <row r="233" ht="18" customHeight="1">
      <c r="A233" s="3" t="s">
        <v>108</v>
      </c>
    </row>
    <row r="234" spans="1:6" ht="18" customHeight="1">
      <c r="A234" s="5" t="s">
        <v>109</v>
      </c>
      <c r="B234" s="1">
        <f>B84+B104+B118+B133+B148+B162+B176+B194+B211</f>
        <v>35629298</v>
      </c>
      <c r="C234" s="1">
        <f>C84+C104+C118+C133+C148+C162+C176+C194+C211</f>
        <v>39803254</v>
      </c>
      <c r="D234" s="1">
        <f>D84+D104+D118+D133+D148+D162+D176+D194+D211</f>
        <v>44271940</v>
      </c>
      <c r="E234" s="1">
        <f>E84+E104+E118+E133+E148+E162+E176+E194+E211</f>
        <v>49759188</v>
      </c>
      <c r="F234" s="1">
        <f>F84+F104+F118+F133+F148+F162+F176+F194+F211</f>
        <v>54794565</v>
      </c>
    </row>
    <row r="235" spans="1:6" ht="18" customHeight="1">
      <c r="A235" s="5" t="s">
        <v>110</v>
      </c>
      <c r="B235" s="1">
        <f>B89+B108+B122+B137+B152+B166+B180+B198+B215</f>
        <v>20754307</v>
      </c>
      <c r="C235" s="1">
        <f>C89+C108+C122+C137+C152+C166+C180+C198+C215</f>
        <v>22485515</v>
      </c>
      <c r="D235" s="1">
        <f>D89+D108+D122+D137+D152+D166+D180+D198+D215</f>
        <v>23338362</v>
      </c>
      <c r="E235" s="1">
        <f>E89+E108+E122+E137+E152+E166+E180+E198+E215</f>
        <v>26298889</v>
      </c>
      <c r="F235" s="1">
        <f>F89+F108+F122+F137+F152+F166+F180+F198+F215</f>
        <v>29700778</v>
      </c>
    </row>
    <row r="236" spans="1:6" ht="18" customHeight="1">
      <c r="A236" s="5" t="s">
        <v>111</v>
      </c>
      <c r="B236" s="1">
        <f>B90+B109+B123+B138+B153+B167+B181+B216</f>
        <v>1649399</v>
      </c>
      <c r="C236" s="1">
        <f>C90+C109+C123+C138+C153+C167+C181+C216</f>
        <v>1427495</v>
      </c>
      <c r="D236" s="1">
        <f>D90+D109+D123+D138+D153+D167+D181+D216</f>
        <v>6892220</v>
      </c>
      <c r="E236" s="1">
        <f>E90+E109+E123+E138+E153+E167+E181+E216</f>
        <v>7077166</v>
      </c>
      <c r="F236" s="1">
        <f>F90+F109+F123+F138+F153+F167+F181+F216</f>
        <v>5279805</v>
      </c>
    </row>
    <row r="237" spans="1:6" ht="18" customHeight="1">
      <c r="A237" s="5" t="s">
        <v>112</v>
      </c>
      <c r="B237" s="1">
        <f>B182+B91+B217</f>
        <v>168446</v>
      </c>
      <c r="C237" s="1">
        <f>C182+C91+C217</f>
        <v>160463</v>
      </c>
      <c r="D237" s="1">
        <f>D182+D91+D217</f>
        <v>181268</v>
      </c>
      <c r="E237" s="1">
        <f>E182+E91+E217</f>
        <v>188134</v>
      </c>
      <c r="F237" s="1">
        <f>F182+F91+F217</f>
        <v>188008</v>
      </c>
    </row>
    <row r="238" spans="1:6" ht="18" customHeight="1">
      <c r="A238" s="5" t="s">
        <v>113</v>
      </c>
      <c r="B238" s="1">
        <f>B92+B93+B110+B124+B139+B154+B168+B183+B199+B200+B218</f>
        <v>966709</v>
      </c>
      <c r="C238" s="1">
        <f>C92+C93+C110+C124+C139+C154+C168+C183+C199+C200+C218</f>
        <v>1007968</v>
      </c>
      <c r="D238" s="1">
        <f>D92+D93+D110+D124+D139+D154+D168+D183+D199+D200+D218</f>
        <v>969844</v>
      </c>
      <c r="E238" s="1">
        <f>E92+E93+E110+E124+E139+E154+E168+E183+E199+E200+E218</f>
        <v>1394949</v>
      </c>
      <c r="F238" s="1">
        <f>F92+F93+F110+F124+F139+F154+F168+F183+F199+F200+F218</f>
        <v>1476121</v>
      </c>
    </row>
    <row r="239" spans="1:6" ht="18" customHeight="1">
      <c r="A239" s="5" t="s">
        <v>114</v>
      </c>
      <c r="B239" s="1">
        <f>B94+B111+B125+B140+B155+B169+B184+B201+B202+B203+B219+B95</f>
        <v>2884784</v>
      </c>
      <c r="C239" s="1">
        <f>C94+C111+C125+C140+C155+C169+C184+C201+C202+C203+C219+C95</f>
        <v>2848439</v>
      </c>
      <c r="D239" s="1">
        <f>D94+D111+D125+D140+D155+D169+D184+D201+D202+D203+D219+D95</f>
        <v>3493899</v>
      </c>
      <c r="E239" s="1">
        <f>E94+E111+E125+E140+E155+E169+E184+E201+E202+E203+E219+E95</f>
        <v>3914383</v>
      </c>
      <c r="F239" s="1">
        <f>F94+F111+F125+F140+F155+F169+F184+F201+F202+F203+F219+F95</f>
        <v>4031121</v>
      </c>
    </row>
    <row r="240" spans="1:6" ht="18" customHeight="1">
      <c r="A240" s="5" t="s">
        <v>115</v>
      </c>
      <c r="B240" s="1">
        <f>B96+B126+B156+B185+B204+B205+B220+B112+B141+B170</f>
        <v>99274</v>
      </c>
      <c r="C240" s="1">
        <f>C96+C126+C156+C185+C204+C205+C220+C112+C141+C170</f>
        <v>92599</v>
      </c>
      <c r="D240" s="1">
        <f>D96+D126+D156+D185+D204+D205+D220+D112+D141+D170</f>
        <v>65361</v>
      </c>
      <c r="E240" s="1">
        <f>E96+E126+E156+E185+E204+E205+E220+E112+E141+E170</f>
        <v>221132</v>
      </c>
      <c r="F240" s="1">
        <f>F96+F126+F156+F185+F204+F205+F220+F112+F141+F170</f>
        <v>143850</v>
      </c>
    </row>
    <row r="241" spans="1:6" ht="18" customHeight="1">
      <c r="A241" s="5" t="s">
        <v>116</v>
      </c>
      <c r="B241" s="1">
        <f>B97+B113+B127+B142+B157+B171+B186+B206+B221</f>
        <v>72059</v>
      </c>
      <c r="C241" s="1">
        <f>C97+C113+C127+C142+C157+C171+C186+C206+C221</f>
        <v>67628</v>
      </c>
      <c r="D241" s="1">
        <f>D97+D113+D127+D142+D157+D171+D186+D206+D221</f>
        <v>61816</v>
      </c>
      <c r="E241" s="1">
        <f>E97+E113+E127+E142+E157+E171+E186+E206+E221</f>
        <v>71000</v>
      </c>
      <c r="F241" s="1">
        <f>F97+F113+F127+F142+F157+F171+F186+F206+F221</f>
        <v>70250</v>
      </c>
    </row>
    <row r="242" spans="1:6" ht="18" customHeight="1">
      <c r="A242" s="3" t="s">
        <v>117</v>
      </c>
      <c r="B242" s="3">
        <f>SUM(B234:B241)</f>
        <v>62224276</v>
      </c>
      <c r="C242" s="3">
        <f>SUM(C234:C241)</f>
        <v>67893361</v>
      </c>
      <c r="D242" s="3">
        <f>SUM(D234:D241)</f>
        <v>79274710</v>
      </c>
      <c r="E242" s="3">
        <f>SUM(E234:E241)</f>
        <v>88924841</v>
      </c>
      <c r="F242" s="3">
        <f>SUM(F234:F241)</f>
        <v>95684498</v>
      </c>
    </row>
    <row r="243" ht="18" customHeight="1">
      <c r="A243" s="3"/>
    </row>
    <row r="244" spans="1:6" ht="18" customHeight="1">
      <c r="A244" s="3" t="s">
        <v>118</v>
      </c>
      <c r="B244" s="3">
        <f>B231-B242</f>
        <v>2152176</v>
      </c>
      <c r="C244" s="3">
        <f>C231-C242</f>
        <v>1293229</v>
      </c>
      <c r="D244" s="3">
        <f>D231-D242</f>
        <v>4511019</v>
      </c>
      <c r="E244" s="3">
        <f>E231-E242</f>
        <v>0</v>
      </c>
      <c r="F244" s="3">
        <f>F231-F242</f>
        <v>0</v>
      </c>
    </row>
    <row r="245" ht="18" customHeight="1">
      <c r="A245" s="3"/>
    </row>
    <row r="246" spans="1:6" ht="18" customHeight="1">
      <c r="A246" s="3" t="s">
        <v>119</v>
      </c>
      <c r="B246" s="3">
        <v>5504363</v>
      </c>
      <c r="C246" s="3">
        <f>+B249</f>
        <v>7656539</v>
      </c>
      <c r="D246" s="3">
        <f>+C249</f>
        <v>8949768</v>
      </c>
      <c r="E246" s="3">
        <f>+D249</f>
        <v>13460787</v>
      </c>
      <c r="F246" s="3">
        <f>+E249</f>
        <v>13460787</v>
      </c>
    </row>
    <row r="247" spans="1:6" ht="18" customHeight="1">
      <c r="A247" s="3" t="s">
        <v>120</v>
      </c>
      <c r="B247" s="3">
        <v>0</v>
      </c>
      <c r="C247" s="3">
        <v>0</v>
      </c>
      <c r="D247" s="3">
        <v>0</v>
      </c>
      <c r="E247" s="3">
        <v>0</v>
      </c>
      <c r="F247" s="3">
        <v>0</v>
      </c>
    </row>
    <row r="248" ht="18" customHeight="1">
      <c r="A248" s="3"/>
    </row>
    <row r="249" spans="1:6" ht="18" customHeight="1">
      <c r="A249" s="3" t="s">
        <v>121</v>
      </c>
      <c r="B249" s="3">
        <f>B244+B246+B247</f>
        <v>7656539</v>
      </c>
      <c r="C249" s="3">
        <f>C244+C246+C247</f>
        <v>8949768</v>
      </c>
      <c r="D249" s="3">
        <f>D244+D246+D247</f>
        <v>13460787</v>
      </c>
      <c r="E249" s="3">
        <f>E244+E246+E247</f>
        <v>13460787</v>
      </c>
      <c r="F249" s="3">
        <f>F244+F246+F247</f>
        <v>13460787</v>
      </c>
    </row>
    <row r="250" ht="18" customHeight="1">
      <c r="A250" s="3"/>
    </row>
    <row r="251" ht="18" customHeight="1">
      <c r="A251" s="3"/>
    </row>
    <row r="252" ht="18" customHeight="1">
      <c r="A252" s="5"/>
    </row>
    <row r="253" ht="24.75" customHeight="1">
      <c r="A253" s="2" t="s">
        <v>0</v>
      </c>
    </row>
    <row r="254" ht="18" customHeight="1">
      <c r="A254" s="3" t="str">
        <f>+A2</f>
        <v>2019 - 2023 Annual Financial Report Comparison</v>
      </c>
    </row>
    <row r="255" ht="18" customHeight="1">
      <c r="A255" s="3" t="str">
        <f>+A3</f>
        <v>FY2023 Budget</v>
      </c>
    </row>
    <row r="256" spans="2:6" ht="18" customHeight="1">
      <c r="B256" s="4" t="s">
        <v>188</v>
      </c>
      <c r="C256" s="4" t="s">
        <v>192</v>
      </c>
      <c r="D256" s="4" t="s">
        <v>197</v>
      </c>
      <c r="E256" s="4" t="s">
        <v>196</v>
      </c>
      <c r="F256" s="4" t="s">
        <v>198</v>
      </c>
    </row>
    <row r="257" spans="1:6" ht="18" customHeight="1">
      <c r="A257" s="7" t="s">
        <v>122</v>
      </c>
      <c r="B257" s="4"/>
      <c r="C257" s="4"/>
      <c r="D257" s="4"/>
      <c r="E257" s="4" t="s">
        <v>165</v>
      </c>
      <c r="F257" s="4"/>
    </row>
    <row r="258" ht="18" customHeight="1">
      <c r="A258" s="3" t="s">
        <v>2</v>
      </c>
    </row>
    <row r="259" ht="18" customHeight="1">
      <c r="A259" s="3" t="s">
        <v>3</v>
      </c>
    </row>
    <row r="260" spans="1:6" ht="18" customHeight="1">
      <c r="A260" s="1" t="s">
        <v>123</v>
      </c>
      <c r="B260" s="1">
        <v>19905</v>
      </c>
      <c r="C260" s="1">
        <v>10994</v>
      </c>
      <c r="D260" s="1">
        <v>2770</v>
      </c>
      <c r="E260" s="1">
        <v>12500</v>
      </c>
      <c r="F260" s="1">
        <v>12500</v>
      </c>
    </row>
    <row r="261" spans="1:6" ht="18" customHeight="1">
      <c r="A261" s="1" t="s">
        <v>124</v>
      </c>
      <c r="B261" s="1">
        <v>1145671</v>
      </c>
      <c r="C261" s="1">
        <v>1380895</v>
      </c>
      <c r="D261" s="1">
        <f>449827-25012+321480-9412+208517-7170+144955-1694</f>
        <v>1081491</v>
      </c>
      <c r="E261" s="1">
        <v>1772500</v>
      </c>
      <c r="F261" s="1">
        <v>1772500</v>
      </c>
    </row>
    <row r="262" spans="1:6" ht="18" customHeight="1">
      <c r="A262" s="1" t="s">
        <v>125</v>
      </c>
      <c r="B262" s="1">
        <v>0</v>
      </c>
      <c r="C262" s="1">
        <v>0</v>
      </c>
      <c r="D262" s="1">
        <v>0</v>
      </c>
      <c r="E262" s="1">
        <v>97500</v>
      </c>
      <c r="F262" s="1">
        <v>97500</v>
      </c>
    </row>
    <row r="263" spans="1:6" ht="18" customHeight="1">
      <c r="A263" s="1" t="s">
        <v>126</v>
      </c>
      <c r="B263" s="1">
        <v>2029233</v>
      </c>
      <c r="C263" s="1">
        <v>1231638</v>
      </c>
      <c r="D263" s="1">
        <v>2064098</v>
      </c>
      <c r="E263" s="1">
        <v>2140500</v>
      </c>
      <c r="F263" s="1">
        <v>1640500</v>
      </c>
    </row>
    <row r="264" spans="1:6" ht="18" customHeight="1">
      <c r="A264" s="3" t="s">
        <v>51</v>
      </c>
      <c r="B264" s="3">
        <f>SUM(B260:B263)</f>
        <v>3194809</v>
      </c>
      <c r="C264" s="3">
        <f>SUM(C260:C263)</f>
        <v>2623527</v>
      </c>
      <c r="D264" s="3">
        <f>SUM(D260:D263)</f>
        <v>3148359</v>
      </c>
      <c r="E264" s="3">
        <f>SUM(E260:E263)</f>
        <v>4023000</v>
      </c>
      <c r="F264" s="3">
        <f>SUM(F260:F263)</f>
        <v>3523000</v>
      </c>
    </row>
    <row r="266" ht="18" customHeight="1">
      <c r="A266" s="3" t="s">
        <v>52</v>
      </c>
    </row>
    <row r="267" spans="1:6" ht="18" customHeight="1">
      <c r="A267" s="1" t="s">
        <v>128</v>
      </c>
      <c r="B267" s="1">
        <v>31427</v>
      </c>
      <c r="C267" s="1">
        <v>69228</v>
      </c>
      <c r="D267" s="1">
        <v>118063</v>
      </c>
      <c r="E267" s="1">
        <v>515250</v>
      </c>
      <c r="F267" s="1">
        <v>515250</v>
      </c>
    </row>
    <row r="268" spans="1:6" ht="18" customHeight="1">
      <c r="A268" s="1" t="s">
        <v>182</v>
      </c>
      <c r="B268" s="1">
        <v>7915</v>
      </c>
      <c r="C268" s="1">
        <v>0</v>
      </c>
      <c r="D268" s="1">
        <v>0</v>
      </c>
      <c r="E268" s="1">
        <v>0</v>
      </c>
      <c r="F268" s="1">
        <v>0</v>
      </c>
    </row>
    <row r="269" spans="1:6" ht="18" customHeight="1">
      <c r="A269" s="1" t="s">
        <v>183</v>
      </c>
      <c r="B269" s="1">
        <v>2404</v>
      </c>
      <c r="C269" s="1">
        <v>0</v>
      </c>
      <c r="D269" s="1">
        <v>0</v>
      </c>
      <c r="E269" s="1">
        <v>0</v>
      </c>
      <c r="F269" s="1">
        <v>0</v>
      </c>
    </row>
    <row r="270" spans="1:6" ht="18" customHeight="1">
      <c r="A270" s="1" t="s">
        <v>111</v>
      </c>
      <c r="B270" s="1">
        <v>263437</v>
      </c>
      <c r="C270" s="1">
        <v>183403</v>
      </c>
      <c r="D270" s="1">
        <v>253928</v>
      </c>
      <c r="E270" s="1">
        <v>275750</v>
      </c>
      <c r="F270" s="1">
        <v>75750</v>
      </c>
    </row>
    <row r="271" spans="1:6" ht="18" customHeight="1">
      <c r="A271" s="1" t="s">
        <v>113</v>
      </c>
      <c r="B271" s="1">
        <v>427443</v>
      </c>
      <c r="C271" s="1">
        <v>344474</v>
      </c>
      <c r="D271" s="1">
        <v>143232</v>
      </c>
      <c r="E271" s="1">
        <v>195700</v>
      </c>
      <c r="F271" s="1">
        <v>195700</v>
      </c>
    </row>
    <row r="272" spans="1:6" ht="18" customHeight="1">
      <c r="A272" s="8" t="s">
        <v>114</v>
      </c>
      <c r="B272" s="1">
        <v>2462183</v>
      </c>
      <c r="C272" s="1">
        <v>2026422</v>
      </c>
      <c r="D272" s="1">
        <v>2633136</v>
      </c>
      <c r="E272" s="1">
        <v>3036300</v>
      </c>
      <c r="F272" s="1">
        <v>2736300</v>
      </c>
    </row>
    <row r="273" spans="1:6" ht="18" customHeight="1">
      <c r="A273" s="1" t="s">
        <v>115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</row>
    <row r="274" spans="1:6" ht="18" customHeight="1">
      <c r="A274" s="3" t="s">
        <v>117</v>
      </c>
      <c r="B274" s="3">
        <f>SUM(B267:B273)</f>
        <v>3194809</v>
      </c>
      <c r="C274" s="3">
        <f>SUM(C267:C273)</f>
        <v>2623527</v>
      </c>
      <c r="D274" s="3">
        <f>SUM(D267:D273)</f>
        <v>3148359</v>
      </c>
      <c r="E274" s="3">
        <f>SUM(E267:E273)</f>
        <v>4023000</v>
      </c>
      <c r="F274" s="3">
        <f>SUM(F267:F273)</f>
        <v>3523000</v>
      </c>
    </row>
    <row r="276" spans="1:6" ht="18" customHeight="1">
      <c r="A276" s="3" t="s">
        <v>118</v>
      </c>
      <c r="B276" s="3">
        <f>B264-B274</f>
        <v>0</v>
      </c>
      <c r="C276" s="3">
        <f>C264-C274</f>
        <v>0</v>
      </c>
      <c r="D276" s="3">
        <f>D264-D274</f>
        <v>0</v>
      </c>
      <c r="E276" s="3">
        <f>E264-E274</f>
        <v>0</v>
      </c>
      <c r="F276" s="3">
        <f>F264-F274</f>
        <v>0</v>
      </c>
    </row>
    <row r="277" ht="18" customHeight="1">
      <c r="A277" s="3"/>
    </row>
    <row r="278" spans="1:6" ht="18" customHeight="1">
      <c r="A278" s="3" t="s">
        <v>119</v>
      </c>
      <c r="B278" s="3">
        <v>0</v>
      </c>
      <c r="C278" s="3">
        <v>0</v>
      </c>
      <c r="D278" s="3">
        <v>0</v>
      </c>
      <c r="E278" s="3">
        <v>0</v>
      </c>
      <c r="F278" s="3">
        <v>0</v>
      </c>
    </row>
    <row r="279" spans="1:6" ht="18" customHeight="1">
      <c r="A279" s="3" t="s">
        <v>120</v>
      </c>
      <c r="B279" s="3">
        <v>0</v>
      </c>
      <c r="C279" s="3">
        <v>0</v>
      </c>
      <c r="D279" s="3">
        <v>0</v>
      </c>
      <c r="E279" s="3">
        <v>0</v>
      </c>
      <c r="F279" s="3">
        <v>0</v>
      </c>
    </row>
    <row r="280" ht="18" customHeight="1">
      <c r="A280" s="3"/>
    </row>
    <row r="281" spans="1:6" ht="18" customHeight="1">
      <c r="A281" s="3" t="s">
        <v>121</v>
      </c>
      <c r="B281" s="3">
        <f>B276+B278+B279</f>
        <v>0</v>
      </c>
      <c r="C281" s="3">
        <f>C276+C278+C279</f>
        <v>0</v>
      </c>
      <c r="D281" s="3">
        <f>D276+D278+D279</f>
        <v>0</v>
      </c>
      <c r="E281" s="3">
        <f>E276+E278+E279</f>
        <v>0</v>
      </c>
      <c r="F281" s="3">
        <f>F276+F278+F279</f>
        <v>0</v>
      </c>
    </row>
    <row r="284" ht="18.75" customHeight="1"/>
    <row r="285" ht="25.5" customHeight="1">
      <c r="A285" s="2" t="s">
        <v>0</v>
      </c>
    </row>
    <row r="286" ht="18" customHeight="1">
      <c r="A286" s="3" t="str">
        <f>+A2</f>
        <v>2019 - 2023 Annual Financial Report Comparison</v>
      </c>
    </row>
    <row r="287" ht="18" customHeight="1">
      <c r="A287" s="9" t="str">
        <f>+A3</f>
        <v>FY2023 Budget</v>
      </c>
    </row>
    <row r="288" spans="2:6" ht="18" customHeight="1">
      <c r="B288" s="4" t="s">
        <v>188</v>
      </c>
      <c r="C288" s="4" t="s">
        <v>192</v>
      </c>
      <c r="D288" s="4" t="s">
        <v>197</v>
      </c>
      <c r="E288" s="4" t="s">
        <v>196</v>
      </c>
      <c r="F288" s="4" t="s">
        <v>198</v>
      </c>
    </row>
    <row r="289" spans="1:6" ht="18" customHeight="1">
      <c r="A289" s="7" t="s">
        <v>184</v>
      </c>
      <c r="B289" s="4"/>
      <c r="C289" s="4"/>
      <c r="D289" s="4"/>
      <c r="E289" s="4" t="s">
        <v>165</v>
      </c>
      <c r="F289" s="4"/>
    </row>
    <row r="290" ht="18" customHeight="1">
      <c r="A290" s="3" t="s">
        <v>2</v>
      </c>
    </row>
    <row r="291" ht="18" customHeight="1">
      <c r="A291" s="3" t="s">
        <v>3</v>
      </c>
    </row>
    <row r="292" ht="18" customHeight="1">
      <c r="A292" s="1" t="s">
        <v>4</v>
      </c>
    </row>
    <row r="293" spans="1:6" ht="18" customHeight="1">
      <c r="A293" s="1" t="s">
        <v>185</v>
      </c>
      <c r="B293" s="1">
        <v>312200</v>
      </c>
      <c r="C293" s="1">
        <v>344647</v>
      </c>
      <c r="D293" s="1">
        <v>434298</v>
      </c>
      <c r="E293" s="1">
        <v>494819</v>
      </c>
      <c r="F293" s="1">
        <v>509886</v>
      </c>
    </row>
    <row r="294" spans="1:6" ht="18" customHeight="1">
      <c r="A294" s="5" t="s">
        <v>130</v>
      </c>
      <c r="B294" s="1">
        <f>B293</f>
        <v>312200</v>
      </c>
      <c r="C294" s="1">
        <f>C293</f>
        <v>344647</v>
      </c>
      <c r="D294" s="1">
        <f aca="true" t="shared" si="0" ref="D294:F295">D293</f>
        <v>434298</v>
      </c>
      <c r="E294" s="1">
        <f t="shared" si="0"/>
        <v>494819</v>
      </c>
      <c r="F294" s="1">
        <f t="shared" si="0"/>
        <v>509886</v>
      </c>
    </row>
    <row r="295" spans="1:6" ht="18" customHeight="1">
      <c r="A295" s="3" t="s">
        <v>127</v>
      </c>
      <c r="B295" s="3">
        <f>B294</f>
        <v>312200</v>
      </c>
      <c r="C295" s="3">
        <f>C294</f>
        <v>344647</v>
      </c>
      <c r="D295" s="3">
        <f t="shared" si="0"/>
        <v>434298</v>
      </c>
      <c r="E295" s="3">
        <f t="shared" si="0"/>
        <v>494819</v>
      </c>
      <c r="F295" s="3">
        <f t="shared" si="0"/>
        <v>509886</v>
      </c>
    </row>
    <row r="297" ht="18" customHeight="1">
      <c r="A297" s="3" t="s">
        <v>186</v>
      </c>
    </row>
    <row r="298" spans="1:6" ht="18" customHeight="1">
      <c r="A298" s="1" t="s">
        <v>137</v>
      </c>
      <c r="B298" s="1">
        <v>312200</v>
      </c>
      <c r="C298" s="1">
        <v>344647</v>
      </c>
      <c r="D298" s="1">
        <v>434298</v>
      </c>
      <c r="E298" s="1">
        <v>494819</v>
      </c>
      <c r="F298" s="1">
        <v>509886</v>
      </c>
    </row>
    <row r="299" spans="1:6" ht="18" customHeight="1">
      <c r="A299" s="9" t="s">
        <v>129</v>
      </c>
      <c r="B299" s="3">
        <f>SUM(B298:B298)</f>
        <v>312200</v>
      </c>
      <c r="C299" s="3">
        <f>SUM(C298:C298)</f>
        <v>344647</v>
      </c>
      <c r="D299" s="3">
        <f>SUM(D298:D298)</f>
        <v>434298</v>
      </c>
      <c r="E299" s="3">
        <f>SUM(E298:E298)</f>
        <v>494819</v>
      </c>
      <c r="F299" s="3">
        <f>SUM(F298:F298)</f>
        <v>509886</v>
      </c>
    </row>
    <row r="301" spans="1:6" ht="18" customHeight="1">
      <c r="A301" s="3" t="s">
        <v>118</v>
      </c>
      <c r="B301" s="3">
        <f>B295-B299</f>
        <v>0</v>
      </c>
      <c r="C301" s="3">
        <f>C295-C299</f>
        <v>0</v>
      </c>
      <c r="D301" s="3">
        <f>D295-D299</f>
        <v>0</v>
      </c>
      <c r="E301" s="3">
        <f>E295-E299</f>
        <v>0</v>
      </c>
      <c r="F301" s="3">
        <f>F295-F299</f>
        <v>0</v>
      </c>
    </row>
    <row r="302" ht="18" customHeight="1">
      <c r="A302" s="3"/>
    </row>
    <row r="303" spans="1:6" ht="18" customHeight="1">
      <c r="A303" s="3" t="s">
        <v>119</v>
      </c>
      <c r="B303" s="3">
        <v>0</v>
      </c>
      <c r="C303" s="3">
        <f>+B306</f>
        <v>0</v>
      </c>
      <c r="D303" s="3">
        <f>+C306</f>
        <v>0</v>
      </c>
      <c r="E303" s="3">
        <f>+D306</f>
        <v>0</v>
      </c>
      <c r="F303" s="3">
        <f>+E306</f>
        <v>0</v>
      </c>
    </row>
    <row r="304" spans="1:6" ht="18" customHeight="1">
      <c r="A304" s="3" t="s">
        <v>177</v>
      </c>
      <c r="B304" s="3">
        <v>0</v>
      </c>
      <c r="C304" s="3">
        <v>0</v>
      </c>
      <c r="D304" s="3">
        <v>0</v>
      </c>
      <c r="E304" s="3">
        <v>0</v>
      </c>
      <c r="F304" s="3">
        <v>0</v>
      </c>
    </row>
    <row r="305" ht="18" customHeight="1">
      <c r="A305" s="3"/>
    </row>
    <row r="306" spans="1:6" ht="18" customHeight="1">
      <c r="A306" s="3" t="s">
        <v>121</v>
      </c>
      <c r="B306" s="3">
        <f>B301+B303</f>
        <v>0</v>
      </c>
      <c r="C306" s="3">
        <f>C301+C303</f>
        <v>0</v>
      </c>
      <c r="D306" s="3">
        <f>D301+D303</f>
        <v>0</v>
      </c>
      <c r="E306" s="3">
        <f>E301+E303</f>
        <v>0</v>
      </c>
      <c r="F306" s="3">
        <f>F301+F303</f>
        <v>0</v>
      </c>
    </row>
    <row r="307" spans="1:6" ht="18" customHeight="1">
      <c r="A307" s="3"/>
      <c r="B307" s="3"/>
      <c r="C307" s="3"/>
      <c r="D307" s="3"/>
      <c r="E307" s="3"/>
      <c r="F307" s="3"/>
    </row>
    <row r="308" spans="1:6" ht="18" customHeight="1">
      <c r="A308" s="3"/>
      <c r="B308" s="3"/>
      <c r="C308" s="3"/>
      <c r="D308" s="3"/>
      <c r="E308" s="3"/>
      <c r="F308" s="3"/>
    </row>
    <row r="309" spans="1:6" ht="18" customHeight="1">
      <c r="A309" s="3"/>
      <c r="B309" s="3"/>
      <c r="C309" s="3"/>
      <c r="D309" s="3"/>
      <c r="E309" s="3"/>
      <c r="F309" s="3"/>
    </row>
    <row r="310" ht="26.25" customHeight="1">
      <c r="A310" s="2" t="s">
        <v>0</v>
      </c>
    </row>
    <row r="311" ht="18" customHeight="1">
      <c r="A311" s="3" t="str">
        <f>+A2</f>
        <v>2019 - 2023 Annual Financial Report Comparison</v>
      </c>
    </row>
    <row r="312" ht="18" customHeight="1">
      <c r="A312" s="9" t="str">
        <f>+A3</f>
        <v>FY2023 Budget</v>
      </c>
    </row>
    <row r="313" spans="2:6" ht="18" customHeight="1">
      <c r="B313" s="4" t="s">
        <v>188</v>
      </c>
      <c r="C313" s="4" t="s">
        <v>192</v>
      </c>
      <c r="D313" s="4" t="s">
        <v>197</v>
      </c>
      <c r="E313" s="4" t="s">
        <v>196</v>
      </c>
      <c r="F313" s="4" t="s">
        <v>198</v>
      </c>
    </row>
    <row r="314" spans="1:6" ht="18" customHeight="1">
      <c r="A314" s="7" t="s">
        <v>133</v>
      </c>
      <c r="B314" s="4"/>
      <c r="C314" s="4"/>
      <c r="D314" s="4"/>
      <c r="E314" s="4" t="s">
        <v>165</v>
      </c>
      <c r="F314" s="4"/>
    </row>
    <row r="315" ht="18" customHeight="1">
      <c r="A315" s="3" t="s">
        <v>2</v>
      </c>
    </row>
    <row r="316" ht="18" customHeight="1">
      <c r="A316" s="3" t="s">
        <v>3</v>
      </c>
    </row>
    <row r="317" ht="18" customHeight="1">
      <c r="A317" s="1" t="s">
        <v>4</v>
      </c>
    </row>
    <row r="318" spans="1:6" ht="18" customHeight="1">
      <c r="A318" s="5" t="s">
        <v>134</v>
      </c>
      <c r="B318" s="1">
        <v>9601349</v>
      </c>
      <c r="C318" s="1">
        <v>8886028</v>
      </c>
      <c r="D318" s="1">
        <v>10378334</v>
      </c>
      <c r="E318" s="1">
        <f>9852373+570000</f>
        <v>10422373</v>
      </c>
      <c r="F318" s="1">
        <v>9880250</v>
      </c>
    </row>
    <row r="319" spans="1:6" ht="18" customHeight="1">
      <c r="A319" s="5" t="s">
        <v>130</v>
      </c>
      <c r="B319" s="1">
        <f aca="true" t="shared" si="1" ref="B319:E320">B318</f>
        <v>9601349</v>
      </c>
      <c r="C319" s="1">
        <f t="shared" si="1"/>
        <v>8886028</v>
      </c>
      <c r="D319" s="1">
        <f t="shared" si="1"/>
        <v>10378334</v>
      </c>
      <c r="E319" s="1">
        <f t="shared" si="1"/>
        <v>10422373</v>
      </c>
      <c r="F319" s="1">
        <f>F318</f>
        <v>9880250</v>
      </c>
    </row>
    <row r="320" spans="1:6" ht="18" customHeight="1">
      <c r="A320" s="3" t="s">
        <v>127</v>
      </c>
      <c r="B320" s="3">
        <f t="shared" si="1"/>
        <v>9601349</v>
      </c>
      <c r="C320" s="3">
        <f t="shared" si="1"/>
        <v>8886028</v>
      </c>
      <c r="D320" s="3">
        <f t="shared" si="1"/>
        <v>10378334</v>
      </c>
      <c r="E320" s="3">
        <f t="shared" si="1"/>
        <v>10422373</v>
      </c>
      <c r="F320" s="3">
        <f>F319</f>
        <v>9880250</v>
      </c>
    </row>
    <row r="323" spans="1:6" ht="18" customHeight="1">
      <c r="A323" s="1" t="s">
        <v>135</v>
      </c>
      <c r="B323" s="1">
        <v>3551851</v>
      </c>
      <c r="C323" s="1">
        <v>3327709</v>
      </c>
      <c r="D323" s="1">
        <v>3035485</v>
      </c>
      <c r="E323" s="1">
        <v>2729873</v>
      </c>
      <c r="F323" s="1">
        <v>2402750</v>
      </c>
    </row>
    <row r="324" spans="1:6" ht="18" customHeight="1">
      <c r="A324" s="1" t="s">
        <v>136</v>
      </c>
      <c r="B324" s="1">
        <v>6335000</v>
      </c>
      <c r="C324" s="1">
        <v>6535000</v>
      </c>
      <c r="D324" s="1">
        <v>6800000</v>
      </c>
      <c r="E324" s="1">
        <f>7120000+3050000</f>
        <v>10170000</v>
      </c>
      <c r="F324" s="1">
        <v>7475000</v>
      </c>
    </row>
    <row r="325" spans="1:6" ht="18" customHeight="1">
      <c r="A325" s="1" t="s">
        <v>137</v>
      </c>
      <c r="B325" s="1">
        <v>2500</v>
      </c>
      <c r="C325" s="1">
        <v>27773</v>
      </c>
      <c r="D325" s="1">
        <v>2500</v>
      </c>
      <c r="E325" s="1">
        <v>2500</v>
      </c>
      <c r="F325" s="1">
        <v>2500</v>
      </c>
    </row>
    <row r="326" spans="1:6" ht="18" customHeight="1">
      <c r="A326" s="9" t="s">
        <v>129</v>
      </c>
      <c r="B326" s="3">
        <f>SUM(B323:B325)</f>
        <v>9889351</v>
      </c>
      <c r="C326" s="3">
        <f>SUM(C323:C325)</f>
        <v>9890482</v>
      </c>
      <c r="D326" s="3">
        <f>SUM(D323:D325)</f>
        <v>9837985</v>
      </c>
      <c r="E326" s="3">
        <f>SUM(E323:E325)</f>
        <v>12902373</v>
      </c>
      <c r="F326" s="3">
        <f>SUM(F323:F325)</f>
        <v>9880250</v>
      </c>
    </row>
    <row r="328" spans="1:6" ht="18" customHeight="1">
      <c r="A328" s="3" t="s">
        <v>118</v>
      </c>
      <c r="B328" s="3">
        <f>B320-B326</f>
        <v>-288002</v>
      </c>
      <c r="C328" s="3">
        <f>C320-C326</f>
        <v>-1004454</v>
      </c>
      <c r="D328" s="3">
        <f>D320-D326</f>
        <v>540349</v>
      </c>
      <c r="E328" s="3">
        <f>E320-E326</f>
        <v>-2480000</v>
      </c>
      <c r="F328" s="3">
        <f>F320-F326</f>
        <v>0</v>
      </c>
    </row>
    <row r="329" ht="18" customHeight="1">
      <c r="A329" s="3"/>
    </row>
    <row r="330" spans="1:6" ht="18" customHeight="1">
      <c r="A330" s="3" t="s">
        <v>119</v>
      </c>
      <c r="B330" s="3">
        <v>3765942</v>
      </c>
      <c r="C330" s="3">
        <f>+B333</f>
        <v>3477940</v>
      </c>
      <c r="D330" s="3">
        <f>+C333</f>
        <v>2473486</v>
      </c>
      <c r="E330" s="3">
        <f>+D333</f>
        <v>3013835</v>
      </c>
      <c r="F330" s="3">
        <f>+E333</f>
        <v>533835</v>
      </c>
    </row>
    <row r="331" spans="1:6" ht="18" customHeight="1">
      <c r="A331" s="3" t="s">
        <v>177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</row>
    <row r="332" ht="18" customHeight="1">
      <c r="A332" s="3"/>
    </row>
    <row r="333" spans="1:6" ht="18" customHeight="1">
      <c r="A333" s="3" t="s">
        <v>121</v>
      </c>
      <c r="B333" s="3">
        <f>B328+B330</f>
        <v>3477940</v>
      </c>
      <c r="C333" s="3">
        <f>C328+C330</f>
        <v>2473486</v>
      </c>
      <c r="D333" s="3">
        <f>D328+D330</f>
        <v>3013835</v>
      </c>
      <c r="E333" s="3">
        <f>E328+E330</f>
        <v>533835</v>
      </c>
      <c r="F333" s="3">
        <f>F328+F330</f>
        <v>533835</v>
      </c>
    </row>
    <row r="336" ht="25.5" customHeight="1">
      <c r="A336" s="2" t="s">
        <v>0</v>
      </c>
    </row>
    <row r="337" ht="18" customHeight="1">
      <c r="A337" s="3" t="str">
        <f>+A2</f>
        <v>2019 - 2023 Annual Financial Report Comparison</v>
      </c>
    </row>
    <row r="338" ht="18" customHeight="1">
      <c r="A338" s="3" t="str">
        <f>+A3</f>
        <v>FY2023 Budget</v>
      </c>
    </row>
    <row r="339" spans="2:6" ht="18" customHeight="1">
      <c r="B339" s="4" t="s">
        <v>188</v>
      </c>
      <c r="C339" s="4" t="s">
        <v>192</v>
      </c>
      <c r="D339" s="4" t="s">
        <v>197</v>
      </c>
      <c r="E339" s="4" t="s">
        <v>196</v>
      </c>
      <c r="F339" s="4" t="s">
        <v>198</v>
      </c>
    </row>
    <row r="340" spans="1:6" ht="18" customHeight="1">
      <c r="A340" s="7" t="s">
        <v>138</v>
      </c>
      <c r="B340" s="4"/>
      <c r="C340" s="4"/>
      <c r="D340" s="4"/>
      <c r="E340" s="4" t="s">
        <v>165</v>
      </c>
      <c r="F340" s="4"/>
    </row>
    <row r="341" ht="18" customHeight="1">
      <c r="A341" s="3" t="s">
        <v>2</v>
      </c>
    </row>
    <row r="342" ht="18" customHeight="1">
      <c r="A342" s="3" t="s">
        <v>3</v>
      </c>
    </row>
    <row r="343" ht="18" customHeight="1">
      <c r="A343" s="1" t="s">
        <v>4</v>
      </c>
    </row>
    <row r="344" spans="1:6" ht="18" customHeight="1">
      <c r="A344" s="1" t="s">
        <v>139</v>
      </c>
      <c r="B344" s="1">
        <v>7107808</v>
      </c>
      <c r="C344" s="1">
        <f>9489291+364821+486496</f>
        <v>10340608</v>
      </c>
      <c r="D344" s="1">
        <f>11010550+776568+558201</f>
        <v>12345319</v>
      </c>
      <c r="E344" s="1">
        <f>13164959+500000</f>
        <v>13664959</v>
      </c>
      <c r="F344" s="1">
        <v>14654958</v>
      </c>
    </row>
    <row r="345" spans="1:6" ht="18" customHeight="1">
      <c r="A345" s="5" t="s">
        <v>130</v>
      </c>
      <c r="B345" s="1">
        <f>B344</f>
        <v>7107808</v>
      </c>
      <c r="C345" s="1">
        <f>C344</f>
        <v>10340608</v>
      </c>
      <c r="D345" s="1">
        <f>D344</f>
        <v>12345319</v>
      </c>
      <c r="E345" s="1">
        <f>E344</f>
        <v>13664959</v>
      </c>
      <c r="F345" s="1">
        <f>F344</f>
        <v>14654958</v>
      </c>
    </row>
    <row r="347" spans="1:6" ht="18" customHeight="1">
      <c r="A347" s="5" t="s">
        <v>123</v>
      </c>
      <c r="B347" s="1">
        <v>89669</v>
      </c>
      <c r="C347" s="1">
        <v>28387</v>
      </c>
      <c r="D347" s="1">
        <v>767</v>
      </c>
      <c r="E347" s="1">
        <v>0</v>
      </c>
      <c r="F347" s="1">
        <v>0</v>
      </c>
    </row>
    <row r="348" spans="1:6" ht="18" customHeight="1">
      <c r="A348" s="5" t="s">
        <v>131</v>
      </c>
      <c r="B348" s="1">
        <v>0</v>
      </c>
      <c r="C348" s="1">
        <v>0</v>
      </c>
      <c r="D348" s="1">
        <v>0</v>
      </c>
      <c r="E348" s="1">
        <v>665530</v>
      </c>
      <c r="F348" s="1">
        <v>757940</v>
      </c>
    </row>
    <row r="349" spans="1:6" ht="18" customHeight="1">
      <c r="A349" s="5" t="s">
        <v>12</v>
      </c>
      <c r="B349" s="1">
        <f>B347+B348</f>
        <v>89669</v>
      </c>
      <c r="C349" s="1">
        <f>C347+C348</f>
        <v>28387</v>
      </c>
      <c r="D349" s="1">
        <f>D347+D348</f>
        <v>767</v>
      </c>
      <c r="E349" s="1">
        <f>E347+E348</f>
        <v>665530</v>
      </c>
      <c r="F349" s="1">
        <f>F347+F348</f>
        <v>757940</v>
      </c>
    </row>
    <row r="350" spans="1:6" ht="18" customHeight="1">
      <c r="A350" s="3" t="s">
        <v>13</v>
      </c>
      <c r="B350" s="3">
        <f>B345+B349</f>
        <v>7197477</v>
      </c>
      <c r="C350" s="3">
        <f>C345+C349</f>
        <v>10368995</v>
      </c>
      <c r="D350" s="3">
        <f>D345+D349</f>
        <v>12346086</v>
      </c>
      <c r="E350" s="3">
        <f>E345+E349</f>
        <v>14330489</v>
      </c>
      <c r="F350" s="3">
        <f>F345+F349</f>
        <v>15412898</v>
      </c>
    </row>
    <row r="351" spans="1:6" ht="18" customHeight="1">
      <c r="A351" s="5"/>
      <c r="B351" s="6"/>
      <c r="C351" s="6"/>
      <c r="D351" s="6"/>
      <c r="E351" s="6"/>
      <c r="F351" s="6"/>
    </row>
    <row r="352" spans="1:6" ht="18" customHeight="1">
      <c r="A352" s="3" t="s">
        <v>14</v>
      </c>
      <c r="B352" s="6"/>
      <c r="C352" s="6"/>
      <c r="D352" s="6"/>
      <c r="E352" s="6"/>
      <c r="F352" s="6"/>
    </row>
    <row r="353" spans="1:6" ht="18" customHeight="1">
      <c r="A353" s="1" t="s">
        <v>202</v>
      </c>
      <c r="B353" s="1">
        <v>0</v>
      </c>
      <c r="C353" s="1">
        <v>0</v>
      </c>
      <c r="D353" s="1">
        <v>0</v>
      </c>
      <c r="E353" s="1">
        <v>0</v>
      </c>
      <c r="F353" s="1">
        <v>1283942</v>
      </c>
    </row>
    <row r="354" spans="1:6" ht="18" customHeight="1">
      <c r="A354" s="3" t="s">
        <v>40</v>
      </c>
      <c r="B354" s="3">
        <v>0</v>
      </c>
      <c r="C354" s="3">
        <v>0</v>
      </c>
      <c r="D354" s="3">
        <v>0</v>
      </c>
      <c r="E354" s="3">
        <v>0</v>
      </c>
      <c r="F354" s="3">
        <f>+F353</f>
        <v>1283942</v>
      </c>
    </row>
    <row r="355" spans="1:6" ht="18" customHeight="1">
      <c r="A355" s="3"/>
      <c r="B355" s="3"/>
      <c r="C355" s="3"/>
      <c r="D355" s="3"/>
      <c r="E355" s="3"/>
      <c r="F355" s="3"/>
    </row>
    <row r="356" spans="1:6" ht="18" customHeight="1">
      <c r="A356" s="3" t="s">
        <v>51</v>
      </c>
      <c r="B356" s="3">
        <f>B350+B354</f>
        <v>7197477</v>
      </c>
      <c r="C356" s="3">
        <f>C350+C354</f>
        <v>10368995</v>
      </c>
      <c r="D356" s="3">
        <f>D350+D354</f>
        <v>12346086</v>
      </c>
      <c r="E356" s="3">
        <f>E350+E354</f>
        <v>14330489</v>
      </c>
      <c r="F356" s="3">
        <f>F350+F354</f>
        <v>16696840</v>
      </c>
    </row>
    <row r="357" spans="1:6" ht="18" customHeight="1">
      <c r="A357" s="5"/>
      <c r="B357" s="6"/>
      <c r="C357" s="6"/>
      <c r="D357" s="6"/>
      <c r="E357" s="6"/>
      <c r="F357" s="6"/>
    </row>
    <row r="358" spans="1:6" ht="18" customHeight="1">
      <c r="A358" s="5"/>
      <c r="B358" s="6"/>
      <c r="C358" s="6"/>
      <c r="D358" s="6"/>
      <c r="E358" s="6"/>
      <c r="F358" s="6"/>
    </row>
    <row r="359" spans="1:6" ht="18" customHeight="1">
      <c r="A359" s="3" t="s">
        <v>52</v>
      </c>
      <c r="B359" s="6"/>
      <c r="C359" s="6"/>
      <c r="D359" s="6"/>
      <c r="E359" s="6"/>
      <c r="F359" s="6"/>
    </row>
    <row r="360" spans="1:6" ht="18" customHeight="1">
      <c r="A360" s="3" t="s">
        <v>140</v>
      </c>
      <c r="B360" s="6"/>
      <c r="C360" s="6"/>
      <c r="D360" s="6"/>
      <c r="E360" s="6"/>
      <c r="F360" s="6"/>
    </row>
    <row r="361" spans="1:6" ht="18" customHeight="1">
      <c r="A361" s="5" t="s">
        <v>132</v>
      </c>
      <c r="B361" s="1">
        <v>0</v>
      </c>
      <c r="C361" s="1">
        <v>0</v>
      </c>
      <c r="D361" s="1">
        <v>0</v>
      </c>
      <c r="E361" s="1">
        <v>0</v>
      </c>
      <c r="F361" s="1">
        <v>0</v>
      </c>
    </row>
    <row r="362" spans="1:6" ht="18" customHeight="1">
      <c r="A362" s="3" t="s">
        <v>57</v>
      </c>
      <c r="B362" s="3">
        <f>B361</f>
        <v>0</v>
      </c>
      <c r="C362" s="3">
        <f>C361</f>
        <v>0</v>
      </c>
      <c r="D362" s="3">
        <f>D361</f>
        <v>0</v>
      </c>
      <c r="E362" s="3">
        <f>E361</f>
        <v>0</v>
      </c>
      <c r="F362" s="3">
        <f>F361</f>
        <v>0</v>
      </c>
    </row>
    <row r="363" spans="1:6" ht="18" customHeight="1">
      <c r="A363" s="5" t="s">
        <v>62</v>
      </c>
      <c r="B363" s="1">
        <v>0</v>
      </c>
      <c r="C363" s="1">
        <v>325425</v>
      </c>
      <c r="D363" s="1">
        <v>56493</v>
      </c>
      <c r="E363" s="1">
        <v>67500</v>
      </c>
      <c r="F363" s="1">
        <v>225000</v>
      </c>
    </row>
    <row r="364" spans="1:6" ht="18" customHeight="1">
      <c r="A364" s="5" t="s">
        <v>88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</row>
    <row r="365" spans="1:6" ht="18" customHeight="1">
      <c r="A365" s="5" t="s">
        <v>63</v>
      </c>
      <c r="B365" s="1">
        <v>82306</v>
      </c>
      <c r="C365" s="1">
        <v>0</v>
      </c>
      <c r="D365" s="1">
        <v>0</v>
      </c>
      <c r="E365" s="1">
        <v>0</v>
      </c>
      <c r="F365" s="1">
        <v>0</v>
      </c>
    </row>
    <row r="366" spans="1:6" ht="18" customHeight="1">
      <c r="A366" s="5" t="s">
        <v>65</v>
      </c>
      <c r="B366" s="1">
        <v>4128082</v>
      </c>
      <c r="C366" s="1">
        <f>2255238+461610</f>
        <v>2716848</v>
      </c>
      <c r="D366" s="1">
        <f>1784292+446996+454025</f>
        <v>2685313</v>
      </c>
      <c r="E366" s="1">
        <f>37500+37500+37500+37500+37500+12500+112500+112500+2250000+175000+474250</f>
        <v>3324250</v>
      </c>
      <c r="F366" s="1">
        <v>3332500</v>
      </c>
    </row>
    <row r="367" spans="1:6" ht="18" customHeight="1">
      <c r="A367" s="5" t="s">
        <v>67</v>
      </c>
      <c r="B367" s="1">
        <v>2428962</v>
      </c>
      <c r="C367" s="1">
        <f>2552776+48888</f>
        <v>2601664</v>
      </c>
      <c r="D367" s="1">
        <f>344651+8366+136129</f>
        <v>489146</v>
      </c>
      <c r="E367" s="1">
        <f>5000*7+2515686+7500+52500</f>
        <v>2610686</v>
      </c>
      <c r="F367" s="1">
        <f>5000*7+7500+3694648+7500+52500</f>
        <v>3797148</v>
      </c>
    </row>
    <row r="368" spans="1:6" ht="18" customHeight="1">
      <c r="A368" s="5" t="s">
        <v>100</v>
      </c>
      <c r="B368" s="1">
        <v>284128</v>
      </c>
      <c r="C368" s="1">
        <v>293994</v>
      </c>
      <c r="D368" s="1">
        <v>149007</v>
      </c>
      <c r="E368" s="1">
        <v>148888</v>
      </c>
      <c r="F368" s="1">
        <v>168154</v>
      </c>
    </row>
    <row r="369" spans="1:6" ht="18" customHeight="1">
      <c r="A369" s="5" t="s">
        <v>68</v>
      </c>
      <c r="B369" s="1">
        <v>0</v>
      </c>
      <c r="C369" s="1">
        <v>0</v>
      </c>
      <c r="D369" s="1">
        <v>0</v>
      </c>
      <c r="E369" s="1">
        <v>0</v>
      </c>
      <c r="F369" s="1">
        <v>0</v>
      </c>
    </row>
    <row r="370" spans="1:6" ht="18" customHeight="1">
      <c r="A370" s="3" t="s">
        <v>141</v>
      </c>
      <c r="B370" s="3">
        <f>SUM(B362:B369)</f>
        <v>6923478</v>
      </c>
      <c r="C370" s="3">
        <f>SUM(C362:C369)</f>
        <v>5937931</v>
      </c>
      <c r="D370" s="3">
        <f>SUM(D362:D369)</f>
        <v>3379959</v>
      </c>
      <c r="E370" s="3">
        <f>SUM(E362:E369)</f>
        <v>6151324</v>
      </c>
      <c r="F370" s="3">
        <f>SUM(F362:F369)</f>
        <v>7522802</v>
      </c>
    </row>
    <row r="371" spans="1:6" ht="18" customHeight="1">
      <c r="A371" s="5"/>
      <c r="B371" s="6"/>
      <c r="C371" s="6"/>
      <c r="D371" s="6"/>
      <c r="E371" s="6"/>
      <c r="F371" s="6"/>
    </row>
    <row r="372" spans="1:6" ht="18" customHeight="1">
      <c r="A372" s="3" t="s">
        <v>142</v>
      </c>
      <c r="B372" s="6"/>
      <c r="C372" s="6"/>
      <c r="D372" s="6"/>
      <c r="E372" s="6"/>
      <c r="F372" s="6"/>
    </row>
    <row r="373" spans="1:6" ht="18" customHeight="1">
      <c r="A373" s="5" t="s">
        <v>132</v>
      </c>
      <c r="B373" s="1">
        <v>0</v>
      </c>
      <c r="C373" s="1">
        <v>0</v>
      </c>
      <c r="D373" s="1">
        <v>0</v>
      </c>
      <c r="E373" s="1">
        <v>0</v>
      </c>
      <c r="F373" s="1">
        <v>0</v>
      </c>
    </row>
    <row r="374" spans="1:6" ht="18" customHeight="1">
      <c r="A374" s="3" t="s">
        <v>57</v>
      </c>
      <c r="B374" s="3">
        <f>+B373</f>
        <v>0</v>
      </c>
      <c r="C374" s="3">
        <f>+C373</f>
        <v>0</v>
      </c>
      <c r="D374" s="3">
        <f>+D373</f>
        <v>0</v>
      </c>
      <c r="E374" s="3">
        <f>+E373</f>
        <v>0</v>
      </c>
      <c r="F374" s="3">
        <f>+F373</f>
        <v>0</v>
      </c>
    </row>
    <row r="375" spans="1:6" ht="18" customHeight="1">
      <c r="A375" s="5" t="s">
        <v>62</v>
      </c>
      <c r="B375" s="1">
        <v>0</v>
      </c>
      <c r="C375" s="1">
        <v>0</v>
      </c>
      <c r="D375" s="1">
        <v>0</v>
      </c>
      <c r="E375" s="1">
        <v>0</v>
      </c>
      <c r="F375" s="1">
        <v>0</v>
      </c>
    </row>
    <row r="376" spans="1:6" ht="18" customHeight="1">
      <c r="A376" s="5" t="s">
        <v>88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</row>
    <row r="377" spans="1:6" ht="18" customHeight="1">
      <c r="A377" s="5" t="s">
        <v>63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</row>
    <row r="378" spans="1:6" ht="18" customHeight="1">
      <c r="A378" s="5" t="s">
        <v>65</v>
      </c>
      <c r="B378" s="1">
        <v>0</v>
      </c>
      <c r="C378" s="1">
        <v>0</v>
      </c>
      <c r="D378" s="1">
        <v>0</v>
      </c>
      <c r="E378" s="1">
        <v>0</v>
      </c>
      <c r="F378" s="1">
        <v>0</v>
      </c>
    </row>
    <row r="379" spans="1:6" ht="18" customHeight="1">
      <c r="A379" s="5" t="s">
        <v>143</v>
      </c>
      <c r="B379" s="1">
        <v>37578</v>
      </c>
      <c r="C379" s="1">
        <v>5922718</v>
      </c>
      <c r="D379" s="1">
        <v>17923</v>
      </c>
      <c r="E379" s="1">
        <f>6059285-2100000</f>
        <v>3959285</v>
      </c>
      <c r="F379" s="1">
        <v>8424057</v>
      </c>
    </row>
    <row r="380" spans="1:6" ht="18" customHeight="1">
      <c r="A380" s="5" t="s">
        <v>144</v>
      </c>
      <c r="B380" s="1">
        <v>1947384</v>
      </c>
      <c r="C380" s="1">
        <f>3878855+37170</f>
        <v>3916025</v>
      </c>
      <c r="D380" s="1">
        <f>920717+135036</f>
        <v>1055753</v>
      </c>
      <c r="E380" s="1">
        <f>2218500+35000</f>
        <v>2253500</v>
      </c>
      <c r="F380" s="1">
        <f>2093975+35000</f>
        <v>2128975</v>
      </c>
    </row>
    <row r="381" spans="1:6" ht="18" customHeight="1">
      <c r="A381" s="1" t="s">
        <v>190</v>
      </c>
      <c r="B381" s="1">
        <v>0</v>
      </c>
      <c r="C381" s="1">
        <v>29331</v>
      </c>
      <c r="D381" s="1">
        <v>53655</v>
      </c>
      <c r="E381" s="1">
        <v>37183</v>
      </c>
      <c r="F381" s="1">
        <v>50956</v>
      </c>
    </row>
    <row r="382" spans="1:6" ht="18" customHeight="1">
      <c r="A382" s="1" t="s">
        <v>189</v>
      </c>
      <c r="B382" s="1">
        <v>535615</v>
      </c>
      <c r="C382" s="1">
        <v>1125674</v>
      </c>
      <c r="D382" s="1">
        <v>1181660</v>
      </c>
      <c r="E382" s="1">
        <f>1844883+2600000</f>
        <v>4444883</v>
      </c>
      <c r="F382" s="1">
        <v>2264698</v>
      </c>
    </row>
    <row r="383" spans="1:6" ht="18" customHeight="1">
      <c r="A383" s="3" t="s">
        <v>145</v>
      </c>
      <c r="B383" s="3">
        <f>SUM(B374:B382)</f>
        <v>2520577</v>
      </c>
      <c r="C383" s="3">
        <f>SUM(C374:C382)</f>
        <v>10993748</v>
      </c>
      <c r="D383" s="3">
        <f>SUM(D374:D382)</f>
        <v>2308991</v>
      </c>
      <c r="E383" s="3">
        <f>SUM(E374:E382)</f>
        <v>10694851</v>
      </c>
      <c r="F383" s="3">
        <f>SUM(F374:F382)</f>
        <v>12868686</v>
      </c>
    </row>
    <row r="384" spans="1:6" ht="18" customHeight="1">
      <c r="A384" s="3"/>
      <c r="B384" s="3"/>
      <c r="C384" s="3"/>
      <c r="D384" s="3"/>
      <c r="E384" s="3"/>
      <c r="F384" s="3"/>
    </row>
    <row r="385" spans="1:6" ht="18" customHeight="1">
      <c r="A385" s="3" t="s">
        <v>173</v>
      </c>
      <c r="B385" s="3">
        <f>+B383+B370</f>
        <v>9444055</v>
      </c>
      <c r="C385" s="3">
        <f>+C383+C370</f>
        <v>16931679</v>
      </c>
      <c r="D385" s="3">
        <f>+D383+D370</f>
        <v>5688950</v>
      </c>
      <c r="E385" s="3">
        <f>+E383+E370</f>
        <v>16846175</v>
      </c>
      <c r="F385" s="3">
        <f>+F383+F370</f>
        <v>20391488</v>
      </c>
    </row>
    <row r="386" spans="1:6" ht="18" customHeight="1">
      <c r="A386" s="3"/>
      <c r="B386" s="3"/>
      <c r="C386" s="3"/>
      <c r="D386" s="3"/>
      <c r="E386" s="3"/>
      <c r="F386" s="3"/>
    </row>
    <row r="387" spans="1:6" ht="18" customHeight="1">
      <c r="A387" s="5"/>
      <c r="B387" s="6"/>
      <c r="C387" s="6"/>
      <c r="D387" s="6"/>
      <c r="E387" s="6"/>
      <c r="F387" s="6"/>
    </row>
    <row r="388" ht="18" customHeight="1">
      <c r="A388" s="3" t="s">
        <v>146</v>
      </c>
    </row>
    <row r="389" ht="18" customHeight="1">
      <c r="A389" s="3" t="s">
        <v>104</v>
      </c>
    </row>
    <row r="390" spans="1:6" ht="18" customHeight="1">
      <c r="A390" s="5" t="s">
        <v>105</v>
      </c>
      <c r="B390" s="1">
        <f>B350</f>
        <v>7197477</v>
      </c>
      <c r="C390" s="1">
        <f>C350</f>
        <v>10368995</v>
      </c>
      <c r="D390" s="1">
        <f>D350</f>
        <v>12346086</v>
      </c>
      <c r="E390" s="1">
        <f>E350</f>
        <v>14330489</v>
      </c>
      <c r="F390" s="1">
        <f>F350</f>
        <v>15412898</v>
      </c>
    </row>
    <row r="391" spans="1:6" ht="18" customHeight="1">
      <c r="A391" s="5" t="s">
        <v>106</v>
      </c>
      <c r="B391" s="1">
        <v>0</v>
      </c>
      <c r="C391" s="1">
        <v>0</v>
      </c>
      <c r="D391" s="1">
        <v>0</v>
      </c>
      <c r="E391" s="1">
        <v>0</v>
      </c>
      <c r="F391" s="1">
        <f>+F354</f>
        <v>1283942</v>
      </c>
    </row>
    <row r="392" spans="1:6" ht="18" customHeight="1">
      <c r="A392" s="3" t="s">
        <v>51</v>
      </c>
      <c r="B392" s="3">
        <f>B390+B391</f>
        <v>7197477</v>
      </c>
      <c r="C392" s="3">
        <f>C390+C391</f>
        <v>10368995</v>
      </c>
      <c r="D392" s="3">
        <f>D390+D391</f>
        <v>12346086</v>
      </c>
      <c r="E392" s="3">
        <f>E390+E391</f>
        <v>14330489</v>
      </c>
      <c r="F392" s="3">
        <f>F390+F391</f>
        <v>16696840</v>
      </c>
    </row>
    <row r="393" ht="18" customHeight="1">
      <c r="A393" s="3"/>
    </row>
    <row r="394" ht="18" customHeight="1">
      <c r="A394" s="3" t="s">
        <v>108</v>
      </c>
    </row>
    <row r="395" spans="1:6" ht="18" customHeight="1">
      <c r="A395" s="5" t="s">
        <v>109</v>
      </c>
      <c r="B395" s="1">
        <f>B361+B373</f>
        <v>0</v>
      </c>
      <c r="C395" s="1">
        <f>C361+C373</f>
        <v>0</v>
      </c>
      <c r="D395" s="1">
        <f>D361+D373</f>
        <v>0</v>
      </c>
      <c r="E395" s="1">
        <f>E361+E373</f>
        <v>0</v>
      </c>
      <c r="F395" s="1">
        <f>F361+F373</f>
        <v>0</v>
      </c>
    </row>
    <row r="396" spans="1:6" ht="18" customHeight="1">
      <c r="A396" s="5" t="s">
        <v>111</v>
      </c>
      <c r="B396" s="1">
        <f aca="true" t="shared" si="2" ref="B396:C399">B363+B375</f>
        <v>0</v>
      </c>
      <c r="C396" s="1">
        <f t="shared" si="2"/>
        <v>325425</v>
      </c>
      <c r="D396" s="1">
        <f aca="true" t="shared" si="3" ref="D396:E399">D363+D375</f>
        <v>56493</v>
      </c>
      <c r="E396" s="1">
        <f t="shared" si="3"/>
        <v>67500</v>
      </c>
      <c r="F396" s="1">
        <f>F363+F375</f>
        <v>225000</v>
      </c>
    </row>
    <row r="397" spans="1:6" ht="18" customHeight="1">
      <c r="A397" s="5" t="s">
        <v>112</v>
      </c>
      <c r="B397" s="1">
        <f t="shared" si="2"/>
        <v>0</v>
      </c>
      <c r="C397" s="1">
        <f t="shared" si="2"/>
        <v>0</v>
      </c>
      <c r="D397" s="1">
        <f t="shared" si="3"/>
        <v>0</v>
      </c>
      <c r="E397" s="1">
        <f t="shared" si="3"/>
        <v>0</v>
      </c>
      <c r="F397" s="1">
        <f>F364+F376</f>
        <v>0</v>
      </c>
    </row>
    <row r="398" spans="1:6" ht="18" customHeight="1">
      <c r="A398" s="5" t="s">
        <v>113</v>
      </c>
      <c r="B398" s="1">
        <f t="shared" si="2"/>
        <v>82306</v>
      </c>
      <c r="C398" s="1">
        <f t="shared" si="2"/>
        <v>0</v>
      </c>
      <c r="D398" s="1">
        <f t="shared" si="3"/>
        <v>0</v>
      </c>
      <c r="E398" s="1">
        <f t="shared" si="3"/>
        <v>0</v>
      </c>
      <c r="F398" s="1">
        <f>F365+F377</f>
        <v>0</v>
      </c>
    </row>
    <row r="399" spans="1:6" ht="18" customHeight="1">
      <c r="A399" s="5" t="s">
        <v>114</v>
      </c>
      <c r="B399" s="1">
        <f t="shared" si="2"/>
        <v>4128082</v>
      </c>
      <c r="C399" s="1">
        <f t="shared" si="2"/>
        <v>2716848</v>
      </c>
      <c r="D399" s="1">
        <f t="shared" si="3"/>
        <v>2685313</v>
      </c>
      <c r="E399" s="1">
        <f t="shared" si="3"/>
        <v>3324250</v>
      </c>
      <c r="F399" s="1">
        <f>F366+F378</f>
        <v>3332500</v>
      </c>
    </row>
    <row r="400" spans="1:6" ht="18" customHeight="1">
      <c r="A400" s="1" t="s">
        <v>164</v>
      </c>
      <c r="B400" s="1">
        <f>+B367+B368+B379+B380</f>
        <v>4698052</v>
      </c>
      <c r="C400" s="1">
        <f>+C367+C368+C379+C380</f>
        <v>12734401</v>
      </c>
      <c r="D400" s="1">
        <f>+D367+D368+D379+D380</f>
        <v>1711829</v>
      </c>
      <c r="E400" s="1">
        <f>+E367+E368+E379+E380</f>
        <v>8972359</v>
      </c>
      <c r="F400" s="1">
        <f>+F367+F368+F379+F380</f>
        <v>14518334</v>
      </c>
    </row>
    <row r="401" spans="1:6" ht="18" customHeight="1">
      <c r="A401" s="5" t="s">
        <v>116</v>
      </c>
      <c r="B401" s="1">
        <f>B369+B381+B382</f>
        <v>535615</v>
      </c>
      <c r="C401" s="1">
        <f>C369+C381+C382</f>
        <v>1155005</v>
      </c>
      <c r="D401" s="1">
        <f>D369+D381+D382</f>
        <v>1235315</v>
      </c>
      <c r="E401" s="1">
        <f>E369+E381+E382</f>
        <v>4482066</v>
      </c>
      <c r="F401" s="1">
        <f>F369+F381+F382</f>
        <v>2315654</v>
      </c>
    </row>
    <row r="402" spans="1:6" ht="18" customHeight="1">
      <c r="A402" s="3" t="s">
        <v>117</v>
      </c>
      <c r="B402" s="3">
        <f>SUM(B395:B401)</f>
        <v>9444055</v>
      </c>
      <c r="C402" s="3">
        <f>SUM(C395:C401)</f>
        <v>16931679</v>
      </c>
      <c r="D402" s="3">
        <f>SUM(D395:D401)</f>
        <v>5688950</v>
      </c>
      <c r="E402" s="3">
        <f>SUM(E395:E401)</f>
        <v>16846175</v>
      </c>
      <c r="F402" s="3">
        <f>SUM(F395:F401)</f>
        <v>20391488</v>
      </c>
    </row>
    <row r="403" ht="18" customHeight="1">
      <c r="A403" s="3"/>
    </row>
    <row r="404" spans="1:6" ht="18" customHeight="1">
      <c r="A404" s="3" t="s">
        <v>118</v>
      </c>
      <c r="B404" s="3">
        <f>B392-B402</f>
        <v>-2246578</v>
      </c>
      <c r="C404" s="3">
        <f>C392-C402</f>
        <v>-6562684</v>
      </c>
      <c r="D404" s="3">
        <f>D392-D402</f>
        <v>6657136</v>
      </c>
      <c r="E404" s="3">
        <f>E392-E402</f>
        <v>-2515686</v>
      </c>
      <c r="F404" s="3">
        <f>F392-F402</f>
        <v>-3694648</v>
      </c>
    </row>
    <row r="405" ht="18" customHeight="1">
      <c r="A405" s="3"/>
    </row>
    <row r="406" spans="1:6" ht="18" customHeight="1">
      <c r="A406" s="3" t="s">
        <v>119</v>
      </c>
      <c r="B406" s="3">
        <v>5913517</v>
      </c>
      <c r="C406" s="3">
        <f>+B409</f>
        <v>5750366</v>
      </c>
      <c r="D406" s="3">
        <f>+C409</f>
        <v>1596982</v>
      </c>
      <c r="E406" s="3">
        <f>+D409</f>
        <v>8566514</v>
      </c>
      <c r="F406" s="3">
        <f>+E409</f>
        <v>8566514</v>
      </c>
    </row>
    <row r="407" spans="1:6" ht="18" customHeight="1">
      <c r="A407" s="3" t="s">
        <v>177</v>
      </c>
      <c r="B407" s="3">
        <v>2083427</v>
      </c>
      <c r="C407" s="3">
        <v>2409300</v>
      </c>
      <c r="D407" s="3">
        <v>312396</v>
      </c>
      <c r="E407" s="3">
        <v>2515686</v>
      </c>
      <c r="F407" s="3">
        <f>-F404</f>
        <v>3694648</v>
      </c>
    </row>
    <row r="408" ht="18" customHeight="1">
      <c r="A408" s="3"/>
    </row>
    <row r="409" spans="1:6" ht="18" customHeight="1">
      <c r="A409" s="3" t="s">
        <v>121</v>
      </c>
      <c r="B409" s="3">
        <f>B404+B406+B407</f>
        <v>5750366</v>
      </c>
      <c r="C409" s="3">
        <f>C404+C406+C407</f>
        <v>1596982</v>
      </c>
      <c r="D409" s="3">
        <f>D404+D406+D407</f>
        <v>8566514</v>
      </c>
      <c r="E409" s="3">
        <f>E404+E406+E407</f>
        <v>8566514</v>
      </c>
      <c r="F409" s="3">
        <f>F404+F406+F407</f>
        <v>8566514</v>
      </c>
    </row>
    <row r="412" ht="26.25" customHeight="1">
      <c r="A412" s="2" t="s">
        <v>0</v>
      </c>
    </row>
    <row r="413" ht="18" customHeight="1">
      <c r="A413" s="3" t="str">
        <f>+A2</f>
        <v>2019 - 2023 Annual Financial Report Comparison</v>
      </c>
    </row>
    <row r="414" ht="18" customHeight="1">
      <c r="A414" s="3" t="str">
        <f>+A3</f>
        <v>FY2023 Budget</v>
      </c>
    </row>
    <row r="415" spans="2:6" ht="18" customHeight="1">
      <c r="B415" s="4" t="s">
        <v>188</v>
      </c>
      <c r="C415" s="4" t="s">
        <v>192</v>
      </c>
      <c r="D415" s="4" t="s">
        <v>197</v>
      </c>
      <c r="E415" s="4" t="s">
        <v>196</v>
      </c>
      <c r="F415" s="4" t="s">
        <v>198</v>
      </c>
    </row>
    <row r="416" spans="1:6" ht="18" customHeight="1">
      <c r="A416" s="7" t="s">
        <v>147</v>
      </c>
      <c r="B416" s="4"/>
      <c r="C416" s="4"/>
      <c r="D416" s="4"/>
      <c r="E416" s="4" t="s">
        <v>165</v>
      </c>
      <c r="F416" s="4"/>
    </row>
    <row r="417" ht="18" customHeight="1">
      <c r="A417" s="3" t="s">
        <v>2</v>
      </c>
    </row>
    <row r="418" ht="18" customHeight="1">
      <c r="A418" s="3" t="s">
        <v>3</v>
      </c>
    </row>
    <row r="419" spans="1:6" ht="18" customHeight="1">
      <c r="A419" s="5" t="s">
        <v>148</v>
      </c>
      <c r="B419" s="1">
        <v>827450</v>
      </c>
      <c r="C419" s="1">
        <v>702743</v>
      </c>
      <c r="D419" s="1">
        <v>151961</v>
      </c>
      <c r="E419" s="1">
        <v>912500</v>
      </c>
      <c r="F419" s="1">
        <v>1527612</v>
      </c>
    </row>
    <row r="420" spans="1:6" ht="18" customHeight="1">
      <c r="A420" s="3" t="s">
        <v>13</v>
      </c>
      <c r="B420" s="3">
        <f>B419</f>
        <v>827450</v>
      </c>
      <c r="C420" s="3">
        <f>C419</f>
        <v>702743</v>
      </c>
      <c r="D420" s="3">
        <f>D419</f>
        <v>151961</v>
      </c>
      <c r="E420" s="3">
        <f>E419</f>
        <v>912500</v>
      </c>
      <c r="F420" s="3">
        <f>F419</f>
        <v>1527612</v>
      </c>
    </row>
    <row r="421" spans="1:6" ht="18" customHeight="1">
      <c r="A421" s="5"/>
      <c r="B421" s="6"/>
      <c r="C421" s="6"/>
      <c r="D421" s="6"/>
      <c r="E421" s="6"/>
      <c r="F421" s="6"/>
    </row>
    <row r="422" spans="1:6" ht="18" customHeight="1">
      <c r="A422" s="3" t="s">
        <v>14</v>
      </c>
      <c r="B422" s="6"/>
      <c r="C422" s="6"/>
      <c r="D422" s="6"/>
      <c r="E422" s="6"/>
      <c r="F422" s="6"/>
    </row>
    <row r="423" spans="1:6" ht="18" customHeight="1">
      <c r="A423" s="5" t="s">
        <v>149</v>
      </c>
      <c r="B423" s="1">
        <v>515881</v>
      </c>
      <c r="C423" s="1">
        <v>531024</v>
      </c>
      <c r="D423" s="1">
        <v>709224</v>
      </c>
      <c r="E423" s="1">
        <v>527500</v>
      </c>
      <c r="F423" s="1">
        <v>606625</v>
      </c>
    </row>
    <row r="424" spans="1:6" ht="18" customHeight="1">
      <c r="A424" s="3" t="s">
        <v>40</v>
      </c>
      <c r="B424" s="3">
        <f>B423</f>
        <v>515881</v>
      </c>
      <c r="C424" s="3">
        <f>C423</f>
        <v>531024</v>
      </c>
      <c r="D424" s="3">
        <f>D423</f>
        <v>709224</v>
      </c>
      <c r="E424" s="3">
        <f>E423</f>
        <v>527500</v>
      </c>
      <c r="F424" s="3">
        <f>F423</f>
        <v>606625</v>
      </c>
    </row>
    <row r="425" spans="1:6" ht="18" customHeight="1">
      <c r="A425" s="3"/>
      <c r="B425" s="3"/>
      <c r="C425" s="3"/>
      <c r="D425" s="3"/>
      <c r="E425" s="3"/>
      <c r="F425" s="3"/>
    </row>
    <row r="426" spans="1:6" ht="18" customHeight="1">
      <c r="A426" s="3" t="s">
        <v>41</v>
      </c>
      <c r="B426" s="3"/>
      <c r="C426" s="3"/>
      <c r="D426" s="3"/>
      <c r="E426" s="3"/>
      <c r="F426" s="3"/>
    </row>
    <row r="427" spans="1:6" ht="18" customHeight="1">
      <c r="A427" s="5" t="s">
        <v>150</v>
      </c>
      <c r="B427" s="5">
        <f>1422363-220994</f>
        <v>1201369</v>
      </c>
      <c r="C427" s="5">
        <v>1198146</v>
      </c>
      <c r="D427" s="5">
        <f>2782801-245714</f>
        <v>2537087</v>
      </c>
      <c r="E427" s="5">
        <f>1743205+725000</f>
        <v>2468205</v>
      </c>
      <c r="F427" s="5">
        <v>2004686</v>
      </c>
    </row>
    <row r="428" spans="1:6" ht="18" customHeight="1">
      <c r="A428" s="5" t="s">
        <v>151</v>
      </c>
      <c r="B428" s="5">
        <v>220994</v>
      </c>
      <c r="C428" s="5">
        <v>233271</v>
      </c>
      <c r="D428" s="5">
        <v>245714</v>
      </c>
      <c r="E428" s="5">
        <v>162500</v>
      </c>
      <c r="F428" s="5">
        <v>186875</v>
      </c>
    </row>
    <row r="429" spans="1:6" ht="18" customHeight="1">
      <c r="A429" s="3" t="s">
        <v>50</v>
      </c>
      <c r="B429" s="3">
        <f>B428+B427</f>
        <v>1422363</v>
      </c>
      <c r="C429" s="3">
        <f>C428+C427</f>
        <v>1431417</v>
      </c>
      <c r="D429" s="3">
        <f>D428+D427</f>
        <v>2782801</v>
      </c>
      <c r="E429" s="3">
        <f>E428+E427</f>
        <v>2630705</v>
      </c>
      <c r="F429" s="3">
        <f>F428+F427</f>
        <v>2191561</v>
      </c>
    </row>
    <row r="430" spans="1:6" ht="18" customHeight="1">
      <c r="A430" s="5"/>
      <c r="B430" s="3"/>
      <c r="C430" s="3"/>
      <c r="D430" s="3"/>
      <c r="E430" s="3"/>
      <c r="F430" s="3"/>
    </row>
    <row r="431" spans="1:6" ht="18" customHeight="1">
      <c r="A431" s="3" t="s">
        <v>51</v>
      </c>
      <c r="B431" s="3">
        <f>B420+B424+B429</f>
        <v>2765694</v>
      </c>
      <c r="C431" s="3">
        <f>C420+C424+C429</f>
        <v>2665184</v>
      </c>
      <c r="D431" s="3">
        <f>D420+D424+D429</f>
        <v>3643986</v>
      </c>
      <c r="E431" s="3">
        <f>E420+E424+E429</f>
        <v>4070705</v>
      </c>
      <c r="F431" s="3">
        <f>F420+F424+F429</f>
        <v>4325798</v>
      </c>
    </row>
    <row r="432" spans="1:6" ht="18" customHeight="1">
      <c r="A432" s="5"/>
      <c r="B432" s="6"/>
      <c r="C432" s="6"/>
      <c r="D432" s="6"/>
      <c r="E432" s="6"/>
      <c r="F432" s="6"/>
    </row>
    <row r="433" spans="1:6" ht="18" customHeight="1">
      <c r="A433" s="5"/>
      <c r="B433" s="6"/>
      <c r="C433" s="6"/>
      <c r="D433" s="6"/>
      <c r="E433" s="6"/>
      <c r="F433" s="6"/>
    </row>
    <row r="434" spans="1:6" ht="18" customHeight="1">
      <c r="A434" s="3" t="s">
        <v>52</v>
      </c>
      <c r="B434" s="6"/>
      <c r="C434" s="6"/>
      <c r="D434" s="6"/>
      <c r="E434" s="6"/>
      <c r="F434" s="6"/>
    </row>
    <row r="435" spans="1:6" ht="18" customHeight="1">
      <c r="A435" s="3" t="s">
        <v>152</v>
      </c>
      <c r="B435" s="6"/>
      <c r="C435" s="6"/>
      <c r="D435" s="6"/>
      <c r="E435" s="6"/>
      <c r="F435" s="6"/>
    </row>
    <row r="436" spans="1:6" ht="18" customHeight="1">
      <c r="A436" s="5" t="s">
        <v>132</v>
      </c>
      <c r="B436" s="1">
        <v>876919</v>
      </c>
      <c r="C436" s="1">
        <v>984894</v>
      </c>
      <c r="D436" s="1">
        <v>1053800</v>
      </c>
      <c r="E436" s="1">
        <v>1130505</v>
      </c>
      <c r="F436" s="1">
        <f>84507+72753+672096+14059+41307+337545</f>
        <v>1222267</v>
      </c>
    </row>
    <row r="437" spans="1:6" ht="18" customHeight="1">
      <c r="A437" s="3" t="s">
        <v>57</v>
      </c>
      <c r="B437" s="3">
        <f>B436</f>
        <v>876919</v>
      </c>
      <c r="C437" s="3">
        <f>C436</f>
        <v>984894</v>
      </c>
      <c r="D437" s="3">
        <f>D436</f>
        <v>1053800</v>
      </c>
      <c r="E437" s="3">
        <f>E436</f>
        <v>1130505</v>
      </c>
      <c r="F437" s="3">
        <f>F436</f>
        <v>1222267</v>
      </c>
    </row>
    <row r="438" spans="1:6" ht="18" customHeight="1">
      <c r="A438" s="5" t="s">
        <v>58</v>
      </c>
      <c r="B438" s="1">
        <v>211190</v>
      </c>
      <c r="C438" s="1">
        <v>233414</v>
      </c>
      <c r="D438" s="1">
        <v>254758</v>
      </c>
      <c r="E438" s="1">
        <v>275278</v>
      </c>
      <c r="F438" s="1">
        <v>270243</v>
      </c>
    </row>
    <row r="439" spans="1:6" ht="18" customHeight="1">
      <c r="A439" s="5" t="s">
        <v>59</v>
      </c>
      <c r="B439" s="1">
        <v>66349</v>
      </c>
      <c r="C439" s="1">
        <v>73331</v>
      </c>
      <c r="D439" s="1">
        <v>80037</v>
      </c>
      <c r="E439" s="1">
        <v>86484</v>
      </c>
      <c r="F439" s="1">
        <v>93503</v>
      </c>
    </row>
    <row r="440" spans="1:6" ht="18" customHeight="1">
      <c r="A440" s="5" t="s">
        <v>60</v>
      </c>
      <c r="B440" s="1">
        <v>204326</v>
      </c>
      <c r="C440" s="1">
        <v>30576</v>
      </c>
      <c r="D440" s="1">
        <v>409464</v>
      </c>
      <c r="E440" s="1">
        <v>406188</v>
      </c>
      <c r="F440" s="1">
        <v>473285</v>
      </c>
    </row>
    <row r="441" spans="1:6" ht="18" customHeight="1">
      <c r="A441" s="3" t="s">
        <v>61</v>
      </c>
      <c r="B441" s="3">
        <f>SUM(B438:B440)</f>
        <v>481865</v>
      </c>
      <c r="C441" s="3">
        <f>SUM(C438:C440)</f>
        <v>337321</v>
      </c>
      <c r="D441" s="3">
        <f>SUM(D438:D440)</f>
        <v>744259</v>
      </c>
      <c r="E441" s="3">
        <f>SUM(E438:E440)</f>
        <v>767950</v>
      </c>
      <c r="F441" s="3">
        <f>SUM(F438:F440)</f>
        <v>837031</v>
      </c>
    </row>
    <row r="442" spans="1:6" ht="18" customHeight="1">
      <c r="A442" s="5" t="s">
        <v>62</v>
      </c>
      <c r="B442" s="1">
        <v>0</v>
      </c>
      <c r="C442" s="1">
        <v>0</v>
      </c>
      <c r="D442" s="1">
        <v>0</v>
      </c>
      <c r="E442" s="1">
        <v>0</v>
      </c>
      <c r="F442" s="1">
        <v>0</v>
      </c>
    </row>
    <row r="443" spans="1:6" ht="18" customHeight="1">
      <c r="A443" s="5" t="s">
        <v>88</v>
      </c>
      <c r="B443" s="1">
        <v>9326</v>
      </c>
      <c r="C443" s="1">
        <v>5438</v>
      </c>
      <c r="D443" s="1">
        <v>6356</v>
      </c>
      <c r="E443" s="1">
        <v>6500</v>
      </c>
      <c r="F443" s="1">
        <v>7500</v>
      </c>
    </row>
    <row r="444" spans="1:6" ht="18" customHeight="1">
      <c r="A444" s="5" t="s">
        <v>63</v>
      </c>
      <c r="B444" s="1">
        <v>885</v>
      </c>
      <c r="C444" s="1">
        <v>1646</v>
      </c>
      <c r="D444" s="1">
        <v>0</v>
      </c>
      <c r="E444" s="1">
        <v>1250</v>
      </c>
      <c r="F444" s="1">
        <v>1250</v>
      </c>
    </row>
    <row r="445" spans="1:6" ht="18" customHeight="1">
      <c r="A445" s="5" t="s">
        <v>153</v>
      </c>
      <c r="B445" s="1">
        <v>13064</v>
      </c>
      <c r="C445" s="1">
        <v>8828</v>
      </c>
      <c r="D445" s="1">
        <v>16737</v>
      </c>
      <c r="E445" s="1">
        <v>13750</v>
      </c>
      <c r="F445" s="1">
        <v>22750</v>
      </c>
    </row>
    <row r="446" spans="1:6" ht="18" customHeight="1">
      <c r="A446" s="5" t="s">
        <v>154</v>
      </c>
      <c r="B446" s="1">
        <v>1375452</v>
      </c>
      <c r="C446" s="1">
        <v>1311310</v>
      </c>
      <c r="D446" s="1">
        <f>1488537+5727</f>
        <v>1494264</v>
      </c>
      <c r="E446" s="1">
        <f>1325000+95750+725000</f>
        <v>2145750</v>
      </c>
      <c r="F446" s="1">
        <f>2112500+117500</f>
        <v>2230000</v>
      </c>
    </row>
    <row r="447" spans="1:6" ht="18" customHeight="1">
      <c r="A447" s="1" t="s">
        <v>67</v>
      </c>
      <c r="B447" s="1">
        <v>7885</v>
      </c>
      <c r="C447" s="1">
        <v>12703</v>
      </c>
      <c r="D447" s="1">
        <v>26038</v>
      </c>
      <c r="E447" s="1">
        <v>5000</v>
      </c>
      <c r="F447" s="1">
        <v>5000</v>
      </c>
    </row>
    <row r="448" spans="1:6" ht="18" customHeight="1">
      <c r="A448" s="5" t="s">
        <v>68</v>
      </c>
      <c r="B448" s="1">
        <v>298</v>
      </c>
      <c r="C448" s="1">
        <v>3044</v>
      </c>
      <c r="D448" s="1">
        <v>1300</v>
      </c>
      <c r="E448" s="1">
        <v>0</v>
      </c>
      <c r="F448" s="1">
        <v>0</v>
      </c>
    </row>
    <row r="449" spans="1:6" ht="18" customHeight="1">
      <c r="A449" s="3" t="s">
        <v>155</v>
      </c>
      <c r="B449" s="3">
        <f>SUM(B441:B448)+B437</f>
        <v>2765694</v>
      </c>
      <c r="C449" s="3">
        <f>SUM(C441:C448)+C437</f>
        <v>2665184</v>
      </c>
      <c r="D449" s="3">
        <f>SUM(D441:D448)+D437</f>
        <v>3342754</v>
      </c>
      <c r="E449" s="3">
        <f>SUM(E441:E448)+E437</f>
        <v>4070705</v>
      </c>
      <c r="F449" s="3">
        <f>SUM(F441:F448)+F437</f>
        <v>4325798</v>
      </c>
    </row>
    <row r="450" spans="1:6" ht="18" customHeight="1">
      <c r="A450" s="5"/>
      <c r="B450" s="6"/>
      <c r="C450" s="6"/>
      <c r="D450" s="6"/>
      <c r="E450" s="6"/>
      <c r="F450" s="6"/>
    </row>
    <row r="451" spans="1:6" ht="18" customHeight="1">
      <c r="A451" s="3" t="s">
        <v>118</v>
      </c>
      <c r="B451" s="3">
        <f>B431-B449</f>
        <v>0</v>
      </c>
      <c r="C451" s="3">
        <f>C431-C449</f>
        <v>0</v>
      </c>
      <c r="D451" s="3">
        <f>D431-D449</f>
        <v>301232</v>
      </c>
      <c r="E451" s="3">
        <f>E431-E449</f>
        <v>0</v>
      </c>
      <c r="F451" s="3">
        <f>F431-F449</f>
        <v>0</v>
      </c>
    </row>
    <row r="452" ht="18" customHeight="1">
      <c r="A452" s="3"/>
    </row>
    <row r="453" spans="1:6" ht="18" customHeight="1">
      <c r="A453" s="3" t="s">
        <v>119</v>
      </c>
      <c r="B453" s="3">
        <v>25570</v>
      </c>
      <c r="C453" s="3">
        <f>+B456</f>
        <v>64869</v>
      </c>
      <c r="D453" s="3">
        <f>+C456</f>
        <v>65875</v>
      </c>
      <c r="E453" s="3">
        <f>+D456</f>
        <v>349018</v>
      </c>
      <c r="F453" s="3">
        <f>+E456</f>
        <v>349018</v>
      </c>
    </row>
    <row r="454" spans="1:6" ht="18" customHeight="1">
      <c r="A454" s="3" t="s">
        <v>156</v>
      </c>
      <c r="B454" s="3">
        <v>39299</v>
      </c>
      <c r="C454" s="3">
        <v>1006</v>
      </c>
      <c r="D454" s="3">
        <v>-18089</v>
      </c>
      <c r="E454" s="3">
        <v>0</v>
      </c>
      <c r="F454" s="3">
        <v>0</v>
      </c>
    </row>
    <row r="455" ht="18" customHeight="1">
      <c r="A455" s="3"/>
    </row>
    <row r="456" spans="1:6" ht="18" customHeight="1">
      <c r="A456" s="3" t="s">
        <v>121</v>
      </c>
      <c r="B456" s="3">
        <f>B451+B453+B454</f>
        <v>64869</v>
      </c>
      <c r="C456" s="3">
        <f>C451+C453+C454</f>
        <v>65875</v>
      </c>
      <c r="D456" s="3">
        <f>D451+D453+D454</f>
        <v>349018</v>
      </c>
      <c r="E456" s="3">
        <f>E451+E453+E454</f>
        <v>349018</v>
      </c>
      <c r="F456" s="3">
        <f>F451+F453+F454</f>
        <v>349018</v>
      </c>
    </row>
    <row r="458" ht="14.25" customHeight="1"/>
    <row r="459" ht="27.75" customHeight="1">
      <c r="A459" s="2" t="s">
        <v>0</v>
      </c>
    </row>
    <row r="460" ht="18" customHeight="1">
      <c r="A460" s="3" t="str">
        <f>+A2</f>
        <v>2019 - 2023 Annual Financial Report Comparison</v>
      </c>
    </row>
    <row r="461" ht="18" customHeight="1">
      <c r="A461" s="3" t="str">
        <f>+A3</f>
        <v>FY2023 Budget</v>
      </c>
    </row>
    <row r="462" spans="2:6" ht="18" customHeight="1">
      <c r="B462" s="4" t="s">
        <v>188</v>
      </c>
      <c r="C462" s="4" t="s">
        <v>192</v>
      </c>
      <c r="D462" s="4" t="s">
        <v>197</v>
      </c>
      <c r="E462" s="4" t="s">
        <v>196</v>
      </c>
      <c r="F462" s="4" t="s">
        <v>198</v>
      </c>
    </row>
    <row r="463" spans="1:6" ht="18" customHeight="1">
      <c r="A463" s="10" t="s">
        <v>157</v>
      </c>
      <c r="B463" s="4"/>
      <c r="C463" s="4"/>
      <c r="D463" s="4"/>
      <c r="E463" s="4" t="s">
        <v>165</v>
      </c>
      <c r="F463" s="4"/>
    </row>
    <row r="464" ht="18" customHeight="1">
      <c r="A464" s="3" t="s">
        <v>2</v>
      </c>
    </row>
    <row r="465" ht="18" customHeight="1">
      <c r="A465" s="3" t="s">
        <v>3</v>
      </c>
    </row>
    <row r="466" spans="1:6" ht="18" customHeight="1">
      <c r="A466" s="1" t="s">
        <v>123</v>
      </c>
      <c r="B466" s="1">
        <v>0</v>
      </c>
      <c r="C466" s="1">
        <v>-403</v>
      </c>
      <c r="D466" s="1">
        <v>50886</v>
      </c>
      <c r="E466" s="1">
        <v>1250</v>
      </c>
      <c r="F466" s="1">
        <v>1250</v>
      </c>
    </row>
    <row r="467" spans="1:6" ht="18" customHeight="1">
      <c r="A467" s="1" t="s">
        <v>124</v>
      </c>
      <c r="B467" s="1">
        <v>0</v>
      </c>
      <c r="C467" s="1">
        <v>0</v>
      </c>
      <c r="D467" s="1">
        <v>0</v>
      </c>
      <c r="E467" s="1">
        <v>0</v>
      </c>
      <c r="F467" s="1">
        <v>0</v>
      </c>
    </row>
    <row r="468" spans="1:6" ht="18" customHeight="1">
      <c r="A468" s="1" t="s">
        <v>158</v>
      </c>
      <c r="B468" s="1">
        <v>6058</v>
      </c>
      <c r="C468" s="1">
        <v>393072</v>
      </c>
      <c r="D468" s="1">
        <v>1826459</v>
      </c>
      <c r="E468" s="1">
        <f>761250+365000</f>
        <v>1126250</v>
      </c>
      <c r="F468" s="1">
        <v>761250</v>
      </c>
    </row>
    <row r="469" spans="1:6" ht="18" customHeight="1">
      <c r="A469" s="3" t="s">
        <v>127</v>
      </c>
      <c r="B469" s="3">
        <f>SUM(B466:B468)</f>
        <v>6058</v>
      </c>
      <c r="C469" s="3">
        <f>SUM(C466:C468)</f>
        <v>392669</v>
      </c>
      <c r="D469" s="3">
        <f>SUM(D466:D468)</f>
        <v>1877345</v>
      </c>
      <c r="E469" s="3">
        <f>SUM(E466:E468)</f>
        <v>1127500</v>
      </c>
      <c r="F469" s="3">
        <f>SUM(F466:F468)</f>
        <v>762500</v>
      </c>
    </row>
    <row r="471" spans="1:6" ht="18" customHeight="1">
      <c r="A471" s="3" t="s">
        <v>52</v>
      </c>
      <c r="B471" s="6"/>
      <c r="C471" s="6"/>
      <c r="D471" s="6"/>
      <c r="E471" s="6"/>
      <c r="F471" s="6"/>
    </row>
    <row r="472" spans="1:6" ht="18" customHeight="1">
      <c r="A472" s="3"/>
      <c r="B472" s="6"/>
      <c r="C472" s="6"/>
      <c r="D472" s="6"/>
      <c r="E472" s="6"/>
      <c r="F472" s="6"/>
    </row>
    <row r="473" spans="1:6" ht="18" customHeight="1">
      <c r="A473" s="1" t="s">
        <v>111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</row>
    <row r="474" spans="1:6" ht="18" customHeight="1">
      <c r="A474" s="1" t="s">
        <v>113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</row>
    <row r="475" spans="1:6" ht="18" customHeight="1">
      <c r="A475" s="8" t="s">
        <v>114</v>
      </c>
      <c r="B475" s="1">
        <v>0</v>
      </c>
      <c r="C475" s="1">
        <v>0</v>
      </c>
      <c r="D475" s="1">
        <v>0</v>
      </c>
      <c r="E475" s="1">
        <v>0</v>
      </c>
      <c r="F475" s="1">
        <v>0</v>
      </c>
    </row>
    <row r="476" spans="1:6" ht="18" customHeight="1">
      <c r="A476" s="1" t="s">
        <v>113</v>
      </c>
      <c r="B476" s="1">
        <v>2348</v>
      </c>
      <c r="C476" s="1">
        <v>354809</v>
      </c>
      <c r="D476" s="1">
        <v>565138</v>
      </c>
      <c r="E476" s="1">
        <f>762500+365000</f>
        <v>1127500</v>
      </c>
      <c r="F476" s="1">
        <v>762500</v>
      </c>
    </row>
    <row r="477" spans="1:6" ht="18" customHeight="1">
      <c r="A477" s="3" t="s">
        <v>117</v>
      </c>
      <c r="B477" s="3">
        <f>SUM(B473:B476)</f>
        <v>2348</v>
      </c>
      <c r="C477" s="3">
        <f>SUM(C473:C476)</f>
        <v>354809</v>
      </c>
      <c r="D477" s="3">
        <f>SUM(D473:D476)</f>
        <v>565138</v>
      </c>
      <c r="E477" s="3">
        <f>SUM(E473:E476)</f>
        <v>1127500</v>
      </c>
      <c r="F477" s="3">
        <f>SUM(F473:F476)</f>
        <v>762500</v>
      </c>
    </row>
    <row r="478" spans="2:6" ht="18" customHeight="1">
      <c r="B478" s="3"/>
      <c r="C478" s="3"/>
      <c r="D478" s="3"/>
      <c r="E478" s="3"/>
      <c r="F478" s="3"/>
    </row>
    <row r="479" spans="1:6" ht="18" customHeight="1">
      <c r="A479" s="3" t="s">
        <v>118</v>
      </c>
      <c r="B479" s="3">
        <f>B469-B477</f>
        <v>3710</v>
      </c>
      <c r="C479" s="3">
        <f>C469-C477</f>
        <v>37860</v>
      </c>
      <c r="D479" s="3">
        <f>D469-D477</f>
        <v>1312207</v>
      </c>
      <c r="E479" s="3">
        <f>E469-E477</f>
        <v>0</v>
      </c>
      <c r="F479" s="3">
        <f>F469-F477</f>
        <v>0</v>
      </c>
    </row>
    <row r="480" spans="1:6" ht="18" customHeight="1">
      <c r="A480" s="3"/>
      <c r="B480" s="3"/>
      <c r="C480" s="3"/>
      <c r="D480" s="3"/>
      <c r="E480" s="3"/>
      <c r="F480" s="3"/>
    </row>
    <row r="481" spans="1:6" ht="18" customHeight="1">
      <c r="A481" s="3" t="s">
        <v>119</v>
      </c>
      <c r="B481" s="3">
        <v>97024</v>
      </c>
      <c r="C481" s="3">
        <f>+B484</f>
        <v>100734</v>
      </c>
      <c r="D481" s="3">
        <f>+C484</f>
        <v>138594</v>
      </c>
      <c r="E481" s="3">
        <f>+D484</f>
        <v>1450801</v>
      </c>
      <c r="F481" s="3">
        <f>+E484</f>
        <v>1450801</v>
      </c>
    </row>
    <row r="482" spans="1:6" ht="18" customHeight="1">
      <c r="A482" s="3" t="s">
        <v>120</v>
      </c>
      <c r="B482" s="3">
        <v>0</v>
      </c>
      <c r="C482" s="3">
        <v>0</v>
      </c>
      <c r="D482" s="3">
        <v>0</v>
      </c>
      <c r="E482" s="3">
        <v>0</v>
      </c>
      <c r="F482" s="3">
        <v>0</v>
      </c>
    </row>
    <row r="483" spans="1:6" ht="18" customHeight="1">
      <c r="A483" s="3"/>
      <c r="B483" s="3"/>
      <c r="C483" s="3"/>
      <c r="D483" s="3"/>
      <c r="E483" s="3"/>
      <c r="F483" s="3"/>
    </row>
    <row r="484" spans="1:6" ht="18" customHeight="1">
      <c r="A484" s="3" t="s">
        <v>121</v>
      </c>
      <c r="B484" s="3">
        <f>B479+B481+B482</f>
        <v>100734</v>
      </c>
      <c r="C484" s="3">
        <f>C479+C481+C482</f>
        <v>138594</v>
      </c>
      <c r="D484" s="3">
        <f>D479+D481+D482</f>
        <v>1450801</v>
      </c>
      <c r="E484" s="3">
        <f>E479+E481+E482</f>
        <v>1450801</v>
      </c>
      <c r="F484" s="3">
        <f>F479+F481+F482</f>
        <v>1450801</v>
      </c>
    </row>
    <row r="488" ht="25.5" customHeight="1">
      <c r="A488" s="2" t="s">
        <v>0</v>
      </c>
    </row>
    <row r="489" ht="18" customHeight="1">
      <c r="A489" s="3" t="str">
        <f>+A2</f>
        <v>2019 - 2023 Annual Financial Report Comparison</v>
      </c>
    </row>
    <row r="490" ht="18" customHeight="1">
      <c r="A490" s="9" t="str">
        <f>+A3</f>
        <v>FY2023 Budget</v>
      </c>
    </row>
    <row r="491" spans="2:6" ht="18" customHeight="1">
      <c r="B491" s="4" t="s">
        <v>188</v>
      </c>
      <c r="C491" s="4" t="s">
        <v>192</v>
      </c>
      <c r="D491" s="4" t="s">
        <v>197</v>
      </c>
      <c r="E491" s="4" t="s">
        <v>196</v>
      </c>
      <c r="F491" s="4" t="s">
        <v>198</v>
      </c>
    </row>
    <row r="492" spans="1:6" ht="18" customHeight="1">
      <c r="A492" s="3" t="s">
        <v>175</v>
      </c>
      <c r="B492" s="4"/>
      <c r="C492" s="4"/>
      <c r="D492" s="4"/>
      <c r="E492" s="4" t="s">
        <v>165</v>
      </c>
      <c r="F492" s="4"/>
    </row>
    <row r="493" ht="18" customHeight="1">
      <c r="A493" s="3" t="s">
        <v>2</v>
      </c>
    </row>
    <row r="494" spans="1:6" ht="18" customHeight="1">
      <c r="A494" s="1" t="s">
        <v>159</v>
      </c>
      <c r="B494" s="1">
        <f>B228+B264+B320+B390+B420+B469+B293</f>
        <v>55339246</v>
      </c>
      <c r="C494" s="1">
        <f>C228+C264+C320+C390+C420+C469+C293</f>
        <v>61271707</v>
      </c>
      <c r="D494" s="1">
        <f>D228+D264+D320+D390+D420+D469+D293</f>
        <v>71587307</v>
      </c>
      <c r="E494" s="1">
        <f>E228+E264+E320+E390+E420+E469+E293</f>
        <v>76317817</v>
      </c>
      <c r="F494" s="1">
        <f>F228+F264+F320+F390+F420+F469+F293</f>
        <v>81508028</v>
      </c>
    </row>
    <row r="495" spans="1:6" ht="18" customHeight="1">
      <c r="A495" s="1" t="s">
        <v>160</v>
      </c>
      <c r="B495" s="1">
        <f>B229+B424</f>
        <v>27617326</v>
      </c>
      <c r="C495" s="1">
        <f>C229+C424</f>
        <v>29426010</v>
      </c>
      <c r="D495" s="1">
        <f>D229+D424</f>
        <v>37749278</v>
      </c>
      <c r="E495" s="1">
        <f>E229+E424</f>
        <v>41034748</v>
      </c>
      <c r="F495" s="1">
        <f>F229+F424+F354</f>
        <v>43764586</v>
      </c>
    </row>
    <row r="496" spans="1:6" ht="18" customHeight="1">
      <c r="A496" s="1" t="s">
        <v>161</v>
      </c>
      <c r="B496" s="1">
        <f>B230+B429</f>
        <v>4497467</v>
      </c>
      <c r="C496" s="1">
        <f>C230+C429</f>
        <v>3769923</v>
      </c>
      <c r="D496" s="1">
        <f>D230+D429</f>
        <v>6277552</v>
      </c>
      <c r="E496" s="1">
        <f>E230+E429</f>
        <v>6041162</v>
      </c>
      <c r="F496" s="1">
        <f>F230+F429</f>
        <v>6110158</v>
      </c>
    </row>
    <row r="497" spans="1:6" ht="18" customHeight="1">
      <c r="A497" s="3" t="s">
        <v>127</v>
      </c>
      <c r="B497" s="3">
        <f>SUM(B494:B496)</f>
        <v>87454039</v>
      </c>
      <c r="C497" s="3">
        <f>SUM(C494:C496)</f>
        <v>94467640</v>
      </c>
      <c r="D497" s="3">
        <f>SUM(D494:D496)</f>
        <v>115614137</v>
      </c>
      <c r="E497" s="3">
        <f>SUM(E494:E496)</f>
        <v>123393727</v>
      </c>
      <c r="F497" s="3">
        <f>SUM(F494:F496)</f>
        <v>131382772</v>
      </c>
    </row>
    <row r="499" ht="18" customHeight="1">
      <c r="A499" s="3" t="s">
        <v>52</v>
      </c>
    </row>
    <row r="500" spans="1:6" ht="18" customHeight="1">
      <c r="A500" s="1" t="s">
        <v>162</v>
      </c>
      <c r="B500" s="1">
        <f>B234+B267+B395+B437</f>
        <v>36537644</v>
      </c>
      <c r="C500" s="1">
        <f>C234+C267+C395+C437</f>
        <v>40857376</v>
      </c>
      <c r="D500" s="1">
        <f>D234+D267+D395+D437</f>
        <v>45443803</v>
      </c>
      <c r="E500" s="1">
        <f>E234+E267+E395+E437</f>
        <v>51404943</v>
      </c>
      <c r="F500" s="1">
        <f>F234+F267+F395+F437</f>
        <v>56532082</v>
      </c>
    </row>
    <row r="501" spans="1:6" ht="18" customHeight="1">
      <c r="A501" s="1" t="s">
        <v>163</v>
      </c>
      <c r="B501" s="1">
        <f>B235+B441+B268+B269</f>
        <v>21246491</v>
      </c>
      <c r="C501" s="1">
        <f>C235+C441+C268+C269</f>
        <v>22822836</v>
      </c>
      <c r="D501" s="1">
        <f>D235+D441+D268+D269</f>
        <v>24082621</v>
      </c>
      <c r="E501" s="1">
        <f>E235+E441+E268+E269</f>
        <v>27066839</v>
      </c>
      <c r="F501" s="1">
        <f>F235+F441+F268+F269</f>
        <v>30537809</v>
      </c>
    </row>
    <row r="502" spans="1:6" ht="18" customHeight="1">
      <c r="A502" s="1" t="s">
        <v>111</v>
      </c>
      <c r="B502" s="1">
        <f>+B236+B270+B396+B442+B473</f>
        <v>1912836</v>
      </c>
      <c r="C502" s="1">
        <f>+C236+C270+C396+C442+C473</f>
        <v>1936323</v>
      </c>
      <c r="D502" s="1">
        <f>+D236+D270+D396+D442+D473</f>
        <v>7202641</v>
      </c>
      <c r="E502" s="1">
        <f>+E236+E270+E396+E442+E473</f>
        <v>7420416</v>
      </c>
      <c r="F502" s="1">
        <f>+F236+F270+F396+F442+F473</f>
        <v>5580555</v>
      </c>
    </row>
    <row r="503" spans="1:6" ht="18" customHeight="1">
      <c r="A503" s="8" t="s">
        <v>112</v>
      </c>
      <c r="B503" s="1">
        <f>B237+B397+B443</f>
        <v>177772</v>
      </c>
      <c r="C503" s="1">
        <f>C237+C397+C443</f>
        <v>165901</v>
      </c>
      <c r="D503" s="1">
        <f>D237+D397+D443</f>
        <v>187624</v>
      </c>
      <c r="E503" s="1">
        <f>E237+E397+E443</f>
        <v>194634</v>
      </c>
      <c r="F503" s="1">
        <f>F237+F397+F443</f>
        <v>195508</v>
      </c>
    </row>
    <row r="504" spans="1:6" ht="18" customHeight="1">
      <c r="A504" s="8" t="s">
        <v>113</v>
      </c>
      <c r="B504" s="1">
        <f>B238+B271+B398+B444+B474</f>
        <v>1477343</v>
      </c>
      <c r="C504" s="1">
        <f>C238+C271+C398+C444+C474</f>
        <v>1354088</v>
      </c>
      <c r="D504" s="1">
        <f>D238+D271+D398+D444+D474</f>
        <v>1113076</v>
      </c>
      <c r="E504" s="1">
        <f>E238+E271+E398+E444+E474</f>
        <v>1591899</v>
      </c>
      <c r="F504" s="1">
        <f>F238+F271+F398+F444+F474</f>
        <v>1673071</v>
      </c>
    </row>
    <row r="505" spans="1:6" ht="18" customHeight="1">
      <c r="A505" s="1" t="s">
        <v>114</v>
      </c>
      <c r="B505" s="1">
        <f>B239+B272+B399+B445+B446+B475</f>
        <v>10863565</v>
      </c>
      <c r="C505" s="1">
        <f>C239+C272+C399+C445+C446+C475</f>
        <v>8911847</v>
      </c>
      <c r="D505" s="1">
        <f>D239+D272+D399+D445+D446+D475</f>
        <v>10323349</v>
      </c>
      <c r="E505" s="1">
        <f>E239+E272+E399+E445+E446+E475</f>
        <v>12434433</v>
      </c>
      <c r="F505" s="1">
        <f>F239+F272+F399+F445+F446+F475</f>
        <v>12352671</v>
      </c>
    </row>
    <row r="506" spans="1:6" ht="18" customHeight="1">
      <c r="A506" s="1" t="s">
        <v>164</v>
      </c>
      <c r="B506" s="1">
        <f>B240+B273+B400+B447</f>
        <v>4805211</v>
      </c>
      <c r="C506" s="1">
        <f>C240+C273+C400+C447</f>
        <v>12839703</v>
      </c>
      <c r="D506" s="1">
        <f>D240+D273+D400+D447</f>
        <v>1803228</v>
      </c>
      <c r="E506" s="1">
        <f>E240+E273+E400+E447</f>
        <v>9198491</v>
      </c>
      <c r="F506" s="1">
        <f>F240+F273+F400+F447</f>
        <v>14667184</v>
      </c>
    </row>
    <row r="507" spans="1:6" ht="18" customHeight="1">
      <c r="A507" s="1" t="s">
        <v>116</v>
      </c>
      <c r="B507" s="1">
        <f>B241+B326+B401+B448+B476+B298</f>
        <v>10811871</v>
      </c>
      <c r="C507" s="1">
        <f>C241+C326+C401+C448+C476+C298</f>
        <v>11815615</v>
      </c>
      <c r="D507" s="1">
        <f>D241+D326+D401+D448+D476+D298</f>
        <v>12135852</v>
      </c>
      <c r="E507" s="1">
        <f>E241+E326+E401+E448+E476+E298</f>
        <v>19077758</v>
      </c>
      <c r="F507" s="1">
        <f>F241+F326+F401+F448+F476+F298</f>
        <v>13538540</v>
      </c>
    </row>
    <row r="508" spans="1:6" ht="18" customHeight="1">
      <c r="A508" s="3" t="s">
        <v>129</v>
      </c>
      <c r="B508" s="3">
        <f>SUM(B500:B507)</f>
        <v>87832733</v>
      </c>
      <c r="C508" s="3">
        <f>SUM(C500:C507)</f>
        <v>100703689</v>
      </c>
      <c r="D508" s="3">
        <f>SUM(D500:D507)</f>
        <v>102292194</v>
      </c>
      <c r="E508" s="3">
        <f>SUM(E500:E507)</f>
        <v>128389413</v>
      </c>
      <c r="F508" s="3">
        <f>SUM(F500:F507)</f>
        <v>135077420</v>
      </c>
    </row>
    <row r="510" spans="1:6" ht="18" customHeight="1">
      <c r="A510" s="3" t="s">
        <v>118</v>
      </c>
      <c r="B510" s="3">
        <f>B497-B508</f>
        <v>-378694</v>
      </c>
      <c r="C510" s="3">
        <f>C497-C508</f>
        <v>-6236049</v>
      </c>
      <c r="D510" s="3">
        <f>D497-D508</f>
        <v>13321943</v>
      </c>
      <c r="E510" s="3">
        <f>E497-E508</f>
        <v>-4995686</v>
      </c>
      <c r="F510" s="3">
        <f>F497-F508</f>
        <v>-3694648</v>
      </c>
    </row>
    <row r="512" spans="1:6" ht="18" customHeight="1">
      <c r="A512" s="3" t="s">
        <v>119</v>
      </c>
      <c r="B512" s="3">
        <v>15306416</v>
      </c>
      <c r="C512" s="3">
        <f>+B515</f>
        <v>17050448</v>
      </c>
      <c r="D512" s="3">
        <f>+C515</f>
        <v>13224705</v>
      </c>
      <c r="E512" s="3">
        <f>+D515</f>
        <v>26840955</v>
      </c>
      <c r="F512" s="3">
        <f>+E515</f>
        <v>24360955</v>
      </c>
    </row>
    <row r="513" spans="1:6" ht="18" customHeight="1">
      <c r="A513" s="3" t="s">
        <v>120</v>
      </c>
      <c r="B513" s="3">
        <f>B247+B279+B454+B331+B407</f>
        <v>2122726</v>
      </c>
      <c r="C513" s="3">
        <f>C247+C279+C454+C331+C407</f>
        <v>2410306</v>
      </c>
      <c r="D513" s="3">
        <f>D247+D279+D454+D331+D407</f>
        <v>294307</v>
      </c>
      <c r="E513" s="3">
        <f>E247+E279+E454+E331+E407</f>
        <v>2515686</v>
      </c>
      <c r="F513" s="3">
        <f>F247+F279+F454+F331+F407</f>
        <v>3694648</v>
      </c>
    </row>
    <row r="514" ht="18" customHeight="1">
      <c r="A514" s="3"/>
    </row>
    <row r="515" spans="1:6" ht="18" customHeight="1">
      <c r="A515" s="3" t="s">
        <v>121</v>
      </c>
      <c r="B515" s="3">
        <f>B510+B512+B513</f>
        <v>17050448</v>
      </c>
      <c r="C515" s="3">
        <f>C510+C512+C513</f>
        <v>13224705</v>
      </c>
      <c r="D515" s="3">
        <f>D510+D512+D513</f>
        <v>26840955</v>
      </c>
      <c r="E515" s="3">
        <f>E510+E512+E513</f>
        <v>24360955</v>
      </c>
      <c r="F515" s="3">
        <f>F510+F512+F513</f>
        <v>24360955</v>
      </c>
    </row>
    <row r="517" spans="3:5" ht="18" customHeight="1">
      <c r="C517" s="11"/>
      <c r="D517" s="11"/>
      <c r="E517" s="11"/>
    </row>
  </sheetData>
  <sheetProtection/>
  <printOptions/>
  <pageMargins left="0.5" right="0.5" top="0.5" bottom="0.5" header="0" footer="0"/>
  <pageSetup fitToHeight="0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KJ8975</dc:creator>
  <cp:keywords/>
  <dc:description/>
  <cp:lastModifiedBy>Windows User</cp:lastModifiedBy>
  <cp:lastPrinted>2022-05-17T21:37:40Z</cp:lastPrinted>
  <dcterms:created xsi:type="dcterms:W3CDTF">2015-05-29T21:44:07Z</dcterms:created>
  <dcterms:modified xsi:type="dcterms:W3CDTF">2022-05-27T15:58:52Z</dcterms:modified>
  <cp:category/>
  <cp:version/>
  <cp:contentType/>
  <cp:contentStatus/>
</cp:coreProperties>
</file>