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'A'!$A$6:$F$577</definedName>
    <definedName name="_xlnm.Print_Titles" localSheetId="0">'A'!$1:$5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<sst xmlns="http://schemas.openxmlformats.org/spreadsheetml/2006/main" count="526" uniqueCount="214">
  <si>
    <t>WASATCH COUNTY SCHOOL DISTRICT</t>
  </si>
  <si>
    <t>GENERAL FUND</t>
  </si>
  <si>
    <t>REVENUES:</t>
  </si>
  <si>
    <t>Local Revenue:</t>
  </si>
  <si>
    <t>Tax Proceeds:</t>
  </si>
  <si>
    <t xml:space="preserve">  Basic Program</t>
  </si>
  <si>
    <t xml:space="preserve">  Voted/Board Leeway</t>
  </si>
  <si>
    <t xml:space="preserve">    Total Tax Proceeds</t>
  </si>
  <si>
    <t>Fees/Other Local:</t>
  </si>
  <si>
    <t>Community School Tuition</t>
  </si>
  <si>
    <t>Transportation-Local Fees</t>
  </si>
  <si>
    <t>Interest Earnings</t>
  </si>
  <si>
    <t>Drivers Education Fees</t>
  </si>
  <si>
    <t>Miscellaneous - Special Education</t>
  </si>
  <si>
    <t>Miscellaneous - General</t>
  </si>
  <si>
    <t xml:space="preserve">    Total Fees/Other</t>
  </si>
  <si>
    <t xml:space="preserve">    Total Local Revenue</t>
  </si>
  <si>
    <t>State Revenue:</t>
  </si>
  <si>
    <t>Reg School Program</t>
  </si>
  <si>
    <t>Professional Staff</t>
  </si>
  <si>
    <t>Foreign Exchange Students</t>
  </si>
  <si>
    <t>Local Replacement</t>
  </si>
  <si>
    <t>Special Ed-Regular Program</t>
  </si>
  <si>
    <t>Special Ed-Self Contained</t>
  </si>
  <si>
    <t>Special Ed-Severe Ext Yr</t>
  </si>
  <si>
    <t>Special Ed-State Program</t>
  </si>
  <si>
    <t>Special Ed-Extended Year Stipend</t>
  </si>
  <si>
    <t>Elementary Arts Grant</t>
  </si>
  <si>
    <t>CTE</t>
  </si>
  <si>
    <t>Class Size Reduction</t>
  </si>
  <si>
    <t>State Prof. Dev.</t>
  </si>
  <si>
    <t>Transportation</t>
  </si>
  <si>
    <t>Gifted/Talented</t>
  </si>
  <si>
    <t>Dual Immersion Program</t>
  </si>
  <si>
    <t>Drivers Education</t>
  </si>
  <si>
    <t>Concurrent Enrollment</t>
  </si>
  <si>
    <t>At-Risk Student Programs</t>
  </si>
  <si>
    <t>School Nurses</t>
  </si>
  <si>
    <t>Accel Learning</t>
  </si>
  <si>
    <t>Flexible Allocation WPU Dist</t>
  </si>
  <si>
    <t>Enrollment Growth</t>
  </si>
  <si>
    <t>Teacher Supplies</t>
  </si>
  <si>
    <t>Legislative Staff Bonus Allotment</t>
  </si>
  <si>
    <t>Substance Abuse</t>
  </si>
  <si>
    <t>School Land Trust</t>
  </si>
  <si>
    <t>UPASS Inservice</t>
  </si>
  <si>
    <t>Reading Achievement</t>
  </si>
  <si>
    <t>Library Books/Supplies</t>
  </si>
  <si>
    <t>Early Interventions</t>
  </si>
  <si>
    <t>Math/Science</t>
  </si>
  <si>
    <t xml:space="preserve">    Total State Revenue</t>
  </si>
  <si>
    <t>Federal Revenue:</t>
  </si>
  <si>
    <t>Federal Title I</t>
  </si>
  <si>
    <t>Federal Title II</t>
  </si>
  <si>
    <t>Federal Title III</t>
  </si>
  <si>
    <t>Federal IDEA</t>
  </si>
  <si>
    <t>Other Fed-State</t>
  </si>
  <si>
    <t>Federal Forest Revenue (in lieu of tax)</t>
  </si>
  <si>
    <t>Math/Science Programs</t>
  </si>
  <si>
    <t>Federal Homeless</t>
  </si>
  <si>
    <t xml:space="preserve">    Total Federal Revenue</t>
  </si>
  <si>
    <t xml:space="preserve">    Total Revenue</t>
  </si>
  <si>
    <t>EXPENDITURES:</t>
  </si>
  <si>
    <t>Instructional:</t>
  </si>
  <si>
    <t>Salaries - Teachers</t>
  </si>
  <si>
    <t>Salaries - Substitute Teachers</t>
  </si>
  <si>
    <t>Salaries - Teachers Aides</t>
  </si>
  <si>
    <t>Salaries - All Other</t>
  </si>
  <si>
    <t xml:space="preserve">  Total Salaries</t>
  </si>
  <si>
    <t>Retirement Benefits</t>
  </si>
  <si>
    <t>Social Security Benefits</t>
  </si>
  <si>
    <t>Insurance Benefits</t>
  </si>
  <si>
    <t xml:space="preserve">  Total Benefits</t>
  </si>
  <si>
    <t>Contracted Services</t>
  </si>
  <si>
    <t>Other Purchased Services</t>
  </si>
  <si>
    <t>Tuition to Other Districts</t>
  </si>
  <si>
    <t>Supplies</t>
  </si>
  <si>
    <t>Textbooks</t>
  </si>
  <si>
    <t>Equipment</t>
  </si>
  <si>
    <t>Other</t>
  </si>
  <si>
    <t xml:space="preserve">    Total Instructional:</t>
  </si>
  <si>
    <t>Support Services - Students</t>
  </si>
  <si>
    <t>Salaries - Guidance Counselors</t>
  </si>
  <si>
    <t>Salaries - Health Services Personnel</t>
  </si>
  <si>
    <t xml:space="preserve">    Total Support Services - Student:</t>
  </si>
  <si>
    <t>Support Services - Instructional</t>
  </si>
  <si>
    <t>Salaries - Media Centers</t>
  </si>
  <si>
    <t xml:space="preserve">    Total Support Services - Instructional:</t>
  </si>
  <si>
    <t>Support Services - District Administration</t>
  </si>
  <si>
    <t>Salaries - Administration</t>
  </si>
  <si>
    <t>Salaries - Secretarial</t>
  </si>
  <si>
    <t xml:space="preserve">    Total District Administration:</t>
  </si>
  <si>
    <t>Support Services - School Administration</t>
  </si>
  <si>
    <t xml:space="preserve">    Total School Administration:</t>
  </si>
  <si>
    <t>Support Services - Central</t>
  </si>
  <si>
    <t>Salaries - Central Services</t>
  </si>
  <si>
    <t xml:space="preserve">    Total Central Support Services</t>
  </si>
  <si>
    <t>Support Services - Facility Maintenance</t>
  </si>
  <si>
    <t>Salaries - Custodial/Maintenance</t>
  </si>
  <si>
    <t>Purchased Property Services</t>
  </si>
  <si>
    <t xml:space="preserve">    Total Support Services - Facilities</t>
  </si>
  <si>
    <t>Support Services - Transportation</t>
  </si>
  <si>
    <t xml:space="preserve">Salaries - Office </t>
  </si>
  <si>
    <t>Salaries - Bus Drivers</t>
  </si>
  <si>
    <t>Salaries - Mechanics</t>
  </si>
  <si>
    <t>Salaries - Activity Trip Driver</t>
  </si>
  <si>
    <t>Payments in Lieu of Transportation</t>
  </si>
  <si>
    <t>Property Insurance</t>
  </si>
  <si>
    <t>Motor Fuel</t>
  </si>
  <si>
    <t>Utilities</t>
  </si>
  <si>
    <t>Other Supplies</t>
  </si>
  <si>
    <t>School Buses</t>
  </si>
  <si>
    <t xml:space="preserve">    Total Support Services - Transportation</t>
  </si>
  <si>
    <t xml:space="preserve">    Total Support Services - Other</t>
  </si>
  <si>
    <t>Summary - General Fund</t>
  </si>
  <si>
    <t>Revenues by Source</t>
  </si>
  <si>
    <t xml:space="preserve">  Local</t>
  </si>
  <si>
    <t xml:space="preserve">  State</t>
  </si>
  <si>
    <t xml:space="preserve">  Federal</t>
  </si>
  <si>
    <t>Expenditures by Object</t>
  </si>
  <si>
    <t xml:space="preserve">  Salaries </t>
  </si>
  <si>
    <t xml:space="preserve">  Benefits</t>
  </si>
  <si>
    <t xml:space="preserve">  Contracted Services</t>
  </si>
  <si>
    <t xml:space="preserve">  Purchased Property Services</t>
  </si>
  <si>
    <t xml:space="preserve">  Other Purchased Services</t>
  </si>
  <si>
    <t xml:space="preserve">  Supplies</t>
  </si>
  <si>
    <t xml:space="preserve">  Equipment</t>
  </si>
  <si>
    <t xml:space="preserve">  Other</t>
  </si>
  <si>
    <t xml:space="preserve">    Total Expenditures</t>
  </si>
  <si>
    <t>Excess of Revenues over Expenditures</t>
  </si>
  <si>
    <t>Beginning Fund Balance</t>
  </si>
  <si>
    <t>Other Financing Uses</t>
  </si>
  <si>
    <t>Ending Fund Balance</t>
  </si>
  <si>
    <t>STUDENT ACTIVITY FUND</t>
  </si>
  <si>
    <t xml:space="preserve">  Earnings on Investments</t>
  </si>
  <si>
    <t xml:space="preserve">  Student Fees</t>
  </si>
  <si>
    <t xml:space="preserve">  School Vending</t>
  </si>
  <si>
    <t xml:space="preserve">  Community Services Activities</t>
  </si>
  <si>
    <t xml:space="preserve">    Total Revenue:</t>
  </si>
  <si>
    <t xml:space="preserve">  Salaries - Teachers</t>
  </si>
  <si>
    <t xml:space="preserve">    Total Expenditures:</t>
  </si>
  <si>
    <t>NON K-12 PROGRAMS FUND</t>
  </si>
  <si>
    <t xml:space="preserve">  Recreation Levy</t>
  </si>
  <si>
    <t xml:space="preserve">    Total Tax Proceeds:</t>
  </si>
  <si>
    <t xml:space="preserve">  Revenue - Pool Fees</t>
  </si>
  <si>
    <t xml:space="preserve">  Pre-school Tuition</t>
  </si>
  <si>
    <t xml:space="preserve">  Other Local</t>
  </si>
  <si>
    <t xml:space="preserve">  Pre-School</t>
  </si>
  <si>
    <t xml:space="preserve">  Adult Education</t>
  </si>
  <si>
    <t>Operation of Non-instructional Services</t>
  </si>
  <si>
    <t>Other Services:</t>
  </si>
  <si>
    <t>Salaries</t>
  </si>
  <si>
    <t xml:space="preserve">    Total Other Services</t>
  </si>
  <si>
    <t>Community Services:</t>
  </si>
  <si>
    <t xml:space="preserve">    Total Community Services</t>
  </si>
  <si>
    <t>Summary - Non K-12 Programs</t>
  </si>
  <si>
    <t>DEBT SERVICE FUND</t>
  </si>
  <si>
    <t xml:space="preserve">  Debt Service Levy</t>
  </si>
  <si>
    <t xml:space="preserve">  Interest</t>
  </si>
  <si>
    <t xml:space="preserve">  Redemption of Principal</t>
  </si>
  <si>
    <t xml:space="preserve">  Miscellaneous Expenditures</t>
  </si>
  <si>
    <t>CAPITAL PROJECTS FUND</t>
  </si>
  <si>
    <t xml:space="preserve">  Voted Capital Levy</t>
  </si>
  <si>
    <t xml:space="preserve">  10% of Basic - Capital</t>
  </si>
  <si>
    <t xml:space="preserve">  Capital Outlay Foundation</t>
  </si>
  <si>
    <t>Operation and Maintenance of Facilities</t>
  </si>
  <si>
    <t xml:space="preserve">    Total Operation &amp; Maintenance</t>
  </si>
  <si>
    <t>Building Acquisition and Construction</t>
  </si>
  <si>
    <t>Land and Improvements</t>
  </si>
  <si>
    <t>Buildings</t>
  </si>
  <si>
    <t xml:space="preserve">    Total Building Acquisition/Construction</t>
  </si>
  <si>
    <t>Summary - Capital Projects Fund</t>
  </si>
  <si>
    <t>FOOD SERVICE FUND</t>
  </si>
  <si>
    <t xml:space="preserve">  Sales to Students</t>
  </si>
  <si>
    <t xml:space="preserve">  School Lunch</t>
  </si>
  <si>
    <t xml:space="preserve">  Lunch Reimbursements</t>
  </si>
  <si>
    <t xml:space="preserve">  Donated Commodities</t>
  </si>
  <si>
    <t>Food Services</t>
  </si>
  <si>
    <t>Non-Food Supplies</t>
  </si>
  <si>
    <t>Food</t>
  </si>
  <si>
    <t>Property</t>
  </si>
  <si>
    <t xml:space="preserve">    Total Food Services Expenditures</t>
  </si>
  <si>
    <t>Other Financing Sources (Uses)</t>
  </si>
  <si>
    <t>OTHER GOVERNMENTAL/ENTERPRISE FUNDS</t>
  </si>
  <si>
    <t xml:space="preserve">  Contributions/Donations</t>
  </si>
  <si>
    <t xml:space="preserve">  Total Local</t>
  </si>
  <si>
    <t xml:space="preserve">  Total State</t>
  </si>
  <si>
    <t xml:space="preserve">  Total Federal</t>
  </si>
  <si>
    <t xml:space="preserve">  Salaries</t>
  </si>
  <si>
    <t xml:space="preserve">  Employee Benefits</t>
  </si>
  <si>
    <t xml:space="preserve">  Property</t>
  </si>
  <si>
    <t>FY13 Actual</t>
  </si>
  <si>
    <t>Budget</t>
  </si>
  <si>
    <t>FY14 Actual</t>
  </si>
  <si>
    <t>On Line Offset</t>
  </si>
  <si>
    <t>Special Ed- Pre-school</t>
  </si>
  <si>
    <t>Adult High School</t>
  </si>
  <si>
    <t>Federal IDEA - Pre-school</t>
  </si>
  <si>
    <t>Federal Adult Ed Programs</t>
  </si>
  <si>
    <t>Other Employee Benefits</t>
  </si>
  <si>
    <t>Salaries - Aides</t>
  </si>
  <si>
    <t>Community Services</t>
  </si>
  <si>
    <t xml:space="preserve">    Total Expenditures - Capital Fund</t>
  </si>
  <si>
    <t>Medicaid Outreach</t>
  </si>
  <si>
    <t>VoEd Workbased</t>
  </si>
  <si>
    <t>2013 - 2017 Annual Financial Report Comparison</t>
  </si>
  <si>
    <t>FY2017 Budget</t>
  </si>
  <si>
    <t>FY16 Amended</t>
  </si>
  <si>
    <t>FY15 Actual</t>
  </si>
  <si>
    <t>FY17 Budget</t>
  </si>
  <si>
    <t>ALL FUNDS</t>
  </si>
  <si>
    <t>Suicide Prevention</t>
  </si>
  <si>
    <t>TANF Grant DWS Preschool 0-2</t>
  </si>
  <si>
    <t>Other Financing Sources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</si>
</sst>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4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TMS"/>
      <family val="0"/>
    </font>
    <font>
      <b/>
      <sz val="18"/>
      <name val="TMS"/>
      <family val="0"/>
    </font>
    <font>
      <b/>
      <sz val="14"/>
      <name val="T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7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12.6640625" defaultRowHeight="18" customHeight="1"/>
  <cols>
    <col min="1" max="1" width="37.6640625" style="1" customWidth="1"/>
    <col min="2" max="4" width="15.6640625" style="1" customWidth="1"/>
    <col min="5" max="5" width="15.77734375" style="1" customWidth="1"/>
    <col min="6" max="6" width="15.88671875" style="1" customWidth="1"/>
    <col min="7" max="7" width="13.77734375" style="1" bestFit="1" customWidth="1"/>
    <col min="8" max="8" width="14.6640625" style="1" customWidth="1"/>
    <col min="9" max="253" width="12.6640625" style="1" customWidth="1"/>
  </cols>
  <sheetData>
    <row r="1" ht="20.25" customHeight="1">
      <c r="A1" s="2" t="s">
        <v>0</v>
      </c>
    </row>
    <row r="2" ht="18" customHeight="1">
      <c r="A2" s="3" t="s">
        <v>205</v>
      </c>
    </row>
    <row r="3" ht="18" customHeight="1">
      <c r="A3" s="3" t="s">
        <v>206</v>
      </c>
    </row>
    <row r="4" spans="2:6" ht="18" customHeight="1">
      <c r="B4" s="4" t="s">
        <v>191</v>
      </c>
      <c r="C4" s="4" t="s">
        <v>193</v>
      </c>
      <c r="D4" s="4" t="s">
        <v>208</v>
      </c>
      <c r="E4" s="4" t="s">
        <v>207</v>
      </c>
      <c r="F4" s="4" t="s">
        <v>209</v>
      </c>
    </row>
    <row r="5" spans="2:5" ht="18" customHeight="1">
      <c r="B5" s="4"/>
      <c r="C5" s="4"/>
      <c r="D5" s="4"/>
      <c r="E5" s="4" t="s">
        <v>192</v>
      </c>
    </row>
    <row r="6" spans="1:5" ht="18" customHeight="1">
      <c r="A6" s="4" t="s">
        <v>1</v>
      </c>
      <c r="B6" s="4"/>
      <c r="C6" s="4"/>
      <c r="D6" s="4"/>
      <c r="E6" s="4"/>
    </row>
    <row r="7" ht="18" customHeight="1">
      <c r="A7" s="3" t="s">
        <v>2</v>
      </c>
    </row>
    <row r="8" ht="18" customHeight="1">
      <c r="A8" s="3" t="s">
        <v>3</v>
      </c>
    </row>
    <row r="9" ht="18" customHeight="1">
      <c r="A9" s="1" t="s">
        <v>4</v>
      </c>
    </row>
    <row r="10" spans="1:6" ht="18" customHeight="1">
      <c r="A10" s="5" t="s">
        <v>5</v>
      </c>
      <c r="B10" s="1">
        <v>6287763</v>
      </c>
      <c r="C10" s="1">
        <v>6071666</v>
      </c>
      <c r="D10" s="1">
        <v>5832711</v>
      </c>
      <c r="E10" s="1">
        <v>7890082</v>
      </c>
      <c r="F10" s="1">
        <v>7702748</v>
      </c>
    </row>
    <row r="11" spans="1:6" ht="18" customHeight="1">
      <c r="A11" s="5" t="s">
        <v>6</v>
      </c>
      <c r="B11" s="1">
        <v>10663646</v>
      </c>
      <c r="C11" s="1">
        <v>12356937</v>
      </c>
      <c r="D11" s="1">
        <v>12672474</v>
      </c>
      <c r="E11" s="1">
        <v>13011615</v>
      </c>
      <c r="F11" s="1">
        <v>14729504</v>
      </c>
    </row>
    <row r="12" spans="1:6" ht="18" customHeight="1">
      <c r="A12" s="5" t="s">
        <v>7</v>
      </c>
      <c r="B12" s="1">
        <v>16951409</v>
      </c>
      <c r="C12" s="1">
        <f>SUM(C10:C11)</f>
        <v>18428603</v>
      </c>
      <c r="D12" s="1">
        <f>SUM(D10:D11)</f>
        <v>18505185</v>
      </c>
      <c r="E12" s="1">
        <f>SUM(E10:E11)</f>
        <v>20901697</v>
      </c>
      <c r="F12" s="1">
        <f>SUM(F10:F11)</f>
        <v>22432252</v>
      </c>
    </row>
    <row r="13" ht="18" customHeight="1">
      <c r="A13" s="5"/>
    </row>
    <row r="14" ht="18" customHeight="1">
      <c r="A14" s="5" t="s">
        <v>8</v>
      </c>
    </row>
    <row r="15" spans="1:6" ht="18" customHeight="1">
      <c r="A15" s="5" t="s">
        <v>9</v>
      </c>
      <c r="B15" s="1">
        <v>5600</v>
      </c>
      <c r="C15" s="1">
        <v>6070</v>
      </c>
      <c r="D15" s="1">
        <v>9505</v>
      </c>
      <c r="E15" s="1">
        <v>6250</v>
      </c>
      <c r="F15" s="1">
        <v>8750</v>
      </c>
    </row>
    <row r="16" spans="1:6" ht="18" customHeight="1">
      <c r="A16" s="5" t="s">
        <v>10</v>
      </c>
      <c r="B16" s="1">
        <v>51705</v>
      </c>
      <c r="C16" s="1">
        <v>47306</v>
      </c>
      <c r="D16" s="1">
        <v>61969</v>
      </c>
      <c r="E16" s="1">
        <v>56250</v>
      </c>
      <c r="F16" s="1">
        <v>52500</v>
      </c>
    </row>
    <row r="17" spans="1:6" ht="18" customHeight="1">
      <c r="A17" s="5" t="s">
        <v>11</v>
      </c>
      <c r="B17" s="1">
        <v>113122</v>
      </c>
      <c r="C17" s="1">
        <v>90849</v>
      </c>
      <c r="D17" s="1">
        <v>74874</v>
      </c>
      <c r="E17" s="1">
        <v>74500</v>
      </c>
      <c r="F17" s="1">
        <v>87500</v>
      </c>
    </row>
    <row r="18" spans="1:6" ht="18" customHeight="1">
      <c r="A18" s="5" t="s">
        <v>12</v>
      </c>
      <c r="B18" s="1">
        <v>32458</v>
      </c>
      <c r="C18" s="1">
        <v>40078</v>
      </c>
      <c r="D18" s="1">
        <v>38152</v>
      </c>
      <c r="E18" s="1">
        <v>42500</v>
      </c>
      <c r="F18" s="1">
        <v>42500</v>
      </c>
    </row>
    <row r="19" spans="1:6" ht="18" customHeight="1">
      <c r="A19" s="5" t="s">
        <v>13</v>
      </c>
      <c r="B19" s="1">
        <v>76914</v>
      </c>
      <c r="C19" s="1">
        <f>7293+68355</f>
        <v>75648</v>
      </c>
      <c r="D19" s="1">
        <v>72774</v>
      </c>
      <c r="E19" s="1">
        <v>57500</v>
      </c>
      <c r="F19" s="1">
        <v>61250</v>
      </c>
    </row>
    <row r="20" spans="1:6" ht="18" customHeight="1">
      <c r="A20" s="5" t="s">
        <v>14</v>
      </c>
      <c r="B20" s="1">
        <v>154806</v>
      </c>
      <c r="C20" s="1">
        <f>147712+19500+7763+830</f>
        <v>175805</v>
      </c>
      <c r="D20" s="1">
        <v>191897</v>
      </c>
      <c r="E20" s="1">
        <v>511250</v>
      </c>
      <c r="F20" s="1">
        <f>172500+17250</f>
        <v>189750</v>
      </c>
    </row>
    <row r="21" spans="1:6" ht="18" customHeight="1">
      <c r="A21" s="5" t="s">
        <v>15</v>
      </c>
      <c r="B21" s="1">
        <v>434605</v>
      </c>
      <c r="C21" s="1">
        <f>SUM(C15:C20)</f>
        <v>435756</v>
      </c>
      <c r="D21" s="1">
        <f>SUM(D15:D20)</f>
        <v>449171</v>
      </c>
      <c r="E21" s="1">
        <f>SUM(E15:E20)</f>
        <v>748250</v>
      </c>
      <c r="F21" s="1">
        <f>SUM(F15:F20)</f>
        <v>442250</v>
      </c>
    </row>
    <row r="22" spans="1:6" ht="18" customHeight="1">
      <c r="A22" s="3" t="s">
        <v>16</v>
      </c>
      <c r="B22" s="3">
        <v>17386014</v>
      </c>
      <c r="C22" s="3">
        <f>C21+C12</f>
        <v>18864359</v>
      </c>
      <c r="D22" s="3">
        <f>D21+D12</f>
        <v>18954356</v>
      </c>
      <c r="E22" s="3">
        <f>E21+E12</f>
        <v>21649947</v>
      </c>
      <c r="F22" s="3">
        <f>F21+F12</f>
        <v>22874502</v>
      </c>
    </row>
    <row r="23" ht="18" customHeight="1">
      <c r="A23" s="5"/>
    </row>
    <row r="24" ht="18" customHeight="1">
      <c r="A24" s="3" t="s">
        <v>17</v>
      </c>
    </row>
    <row r="25" spans="1:6" ht="18" customHeight="1">
      <c r="A25" s="5" t="s">
        <v>18</v>
      </c>
      <c r="B25" s="1">
        <v>9006554</v>
      </c>
      <c r="C25" s="1">
        <v>9752494</v>
      </c>
      <c r="D25" s="1">
        <v>10986185</v>
      </c>
      <c r="E25" s="1">
        <f>11992357+4256-6184</f>
        <v>11990429</v>
      </c>
      <c r="F25" s="1">
        <f>12218160+3250-9552</f>
        <v>12211858</v>
      </c>
    </row>
    <row r="26" spans="1:6" ht="18" customHeight="1">
      <c r="A26" s="5" t="s">
        <v>19</v>
      </c>
      <c r="B26" s="1">
        <v>1474984</v>
      </c>
      <c r="C26" s="1">
        <v>1545753</v>
      </c>
      <c r="D26" s="1">
        <v>1652420</v>
      </c>
      <c r="E26" s="1">
        <v>1860747</v>
      </c>
      <c r="F26" s="1">
        <v>1990106</v>
      </c>
    </row>
    <row r="27" spans="1:6" ht="18" customHeight="1">
      <c r="A27" s="1" t="s">
        <v>194</v>
      </c>
      <c r="B27" s="1">
        <v>0</v>
      </c>
      <c r="C27" s="1">
        <v>-2461</v>
      </c>
      <c r="D27" s="1">
        <v>-3446</v>
      </c>
      <c r="E27" s="1">
        <v>-4256</v>
      </c>
      <c r="F27" s="1">
        <v>-3250</v>
      </c>
    </row>
    <row r="28" spans="1:6" ht="18" customHeight="1">
      <c r="A28" s="5" t="s">
        <v>20</v>
      </c>
      <c r="B28" s="1">
        <v>11368</v>
      </c>
      <c r="C28" s="1">
        <v>23192</v>
      </c>
      <c r="D28" s="1">
        <v>5944</v>
      </c>
      <c r="E28" s="1">
        <v>6184</v>
      </c>
      <c r="F28" s="1">
        <v>9552</v>
      </c>
    </row>
    <row r="29" spans="1:6" ht="18" customHeight="1">
      <c r="A29" s="5" t="s">
        <v>21</v>
      </c>
      <c r="B29" s="1">
        <v>-83896</v>
      </c>
      <c r="C29" s="1">
        <v>-98118</v>
      </c>
      <c r="D29" s="1">
        <v>-106939</v>
      </c>
      <c r="E29" s="1">
        <v>-235246</v>
      </c>
      <c r="F29" s="1">
        <v>-233700</v>
      </c>
    </row>
    <row r="30" spans="1:6" ht="18" customHeight="1">
      <c r="A30" s="5" t="s">
        <v>22</v>
      </c>
      <c r="B30" s="1">
        <v>1726694</v>
      </c>
      <c r="C30" s="1">
        <v>1855259</v>
      </c>
      <c r="D30" s="1">
        <v>2069427</v>
      </c>
      <c r="E30" s="1">
        <v>2091159</v>
      </c>
      <c r="F30" s="1">
        <v>2135886</v>
      </c>
    </row>
    <row r="31" spans="1:6" ht="18" customHeight="1">
      <c r="A31" s="5" t="s">
        <v>23</v>
      </c>
      <c r="B31" s="1">
        <v>226729</v>
      </c>
      <c r="C31" s="1">
        <v>217199</v>
      </c>
      <c r="D31" s="1">
        <v>234904</v>
      </c>
      <c r="E31" s="1">
        <v>231659</v>
      </c>
      <c r="F31" s="1">
        <v>237813</v>
      </c>
    </row>
    <row r="32" spans="1:6" ht="18" customHeight="1">
      <c r="A32" s="1" t="s">
        <v>195</v>
      </c>
      <c r="B32" s="1">
        <v>0</v>
      </c>
      <c r="C32" s="1">
        <v>279017</v>
      </c>
      <c r="D32" s="1">
        <v>187851</v>
      </c>
      <c r="E32" s="1">
        <v>259079</v>
      </c>
      <c r="F32" s="1">
        <v>308912</v>
      </c>
    </row>
    <row r="33" spans="1:6" ht="18" customHeight="1">
      <c r="A33" s="5" t="s">
        <v>24</v>
      </c>
      <c r="B33" s="1">
        <v>10697</v>
      </c>
      <c r="C33" s="1">
        <v>11454</v>
      </c>
      <c r="D33" s="1">
        <v>11731</v>
      </c>
      <c r="E33" s="1">
        <v>11248</v>
      </c>
      <c r="F33" s="1">
        <v>11184</v>
      </c>
    </row>
    <row r="34" spans="1:6" ht="18" customHeight="1">
      <c r="A34" s="5" t="s">
        <v>25</v>
      </c>
      <c r="B34" s="1">
        <v>72542</v>
      </c>
      <c r="C34" s="1">
        <v>70666</v>
      </c>
      <c r="D34" s="1">
        <v>66885</v>
      </c>
      <c r="E34" s="1">
        <v>48434</v>
      </c>
      <c r="F34" s="1">
        <v>49373</v>
      </c>
    </row>
    <row r="35" spans="1:6" ht="18" customHeight="1">
      <c r="A35" s="5" t="s">
        <v>26</v>
      </c>
      <c r="B35" s="1">
        <v>38612</v>
      </c>
      <c r="C35" s="1">
        <v>19669</v>
      </c>
      <c r="D35" s="1">
        <v>27483</v>
      </c>
      <c r="E35" s="1">
        <v>22500</v>
      </c>
      <c r="F35" s="1">
        <v>22500</v>
      </c>
    </row>
    <row r="36" spans="1:6" ht="18" customHeight="1">
      <c r="A36" s="5" t="s">
        <v>27</v>
      </c>
      <c r="B36" s="1">
        <v>33000</v>
      </c>
      <c r="C36" s="1">
        <v>149556</v>
      </c>
      <c r="D36" s="1">
        <v>156780</v>
      </c>
      <c r="E36" s="1">
        <v>156780</v>
      </c>
      <c r="F36" s="1">
        <v>188800</v>
      </c>
    </row>
    <row r="37" spans="1:6" ht="18" customHeight="1">
      <c r="A37" s="5" t="s">
        <v>28</v>
      </c>
      <c r="B37" s="1">
        <v>920291</v>
      </c>
      <c r="C37" s="1">
        <v>1005805</v>
      </c>
      <c r="D37" s="1">
        <v>1098560</v>
      </c>
      <c r="E37" s="1">
        <v>1119352</v>
      </c>
      <c r="F37" s="1">
        <v>1131689</v>
      </c>
    </row>
    <row r="38" spans="1:6" ht="18" customHeight="1">
      <c r="A38" s="1" t="s">
        <v>204</v>
      </c>
      <c r="B38" s="1">
        <v>0</v>
      </c>
      <c r="C38" s="1">
        <v>0</v>
      </c>
      <c r="D38" s="1">
        <v>10000</v>
      </c>
      <c r="E38" s="1">
        <v>22764</v>
      </c>
      <c r="F38" s="1">
        <v>0</v>
      </c>
    </row>
    <row r="39" spans="1:6" ht="18" customHeight="1">
      <c r="A39" s="1" t="s">
        <v>196</v>
      </c>
      <c r="B39" s="1">
        <v>0</v>
      </c>
      <c r="C39" s="1">
        <v>88333</v>
      </c>
      <c r="D39" s="1">
        <v>105061</v>
      </c>
      <c r="E39" s="1">
        <v>74641</v>
      </c>
      <c r="F39" s="1">
        <v>78340</v>
      </c>
    </row>
    <row r="40" spans="1:6" ht="18" customHeight="1">
      <c r="A40" s="5" t="s">
        <v>29</v>
      </c>
      <c r="B40" s="1">
        <v>982981</v>
      </c>
      <c r="C40" s="1">
        <v>1041644</v>
      </c>
      <c r="D40" s="1">
        <v>1090470</v>
      </c>
      <c r="E40" s="1">
        <v>1175201</v>
      </c>
      <c r="F40" s="1">
        <v>1284384</v>
      </c>
    </row>
    <row r="41" spans="1:6" ht="18" customHeight="1">
      <c r="A41" s="5" t="s">
        <v>30</v>
      </c>
      <c r="B41" s="1">
        <v>28416</v>
      </c>
      <c r="C41" s="1">
        <f>4750+6453</f>
        <v>11203</v>
      </c>
      <c r="D41" s="1">
        <v>0</v>
      </c>
      <c r="E41" s="1">
        <v>0</v>
      </c>
      <c r="F41" s="1">
        <v>0</v>
      </c>
    </row>
    <row r="42" spans="1:6" ht="18" customHeight="1">
      <c r="A42" s="5" t="s">
        <v>31</v>
      </c>
      <c r="B42" s="1">
        <v>866245</v>
      </c>
      <c r="C42" s="1">
        <v>848475</v>
      </c>
      <c r="D42" s="1">
        <v>881514</v>
      </c>
      <c r="E42" s="1">
        <v>970725</v>
      </c>
      <c r="F42" s="1">
        <v>942216</v>
      </c>
    </row>
    <row r="43" spans="1:6" ht="18" customHeight="1">
      <c r="A43" s="5" t="s">
        <v>32</v>
      </c>
      <c r="B43" s="1">
        <v>23036</v>
      </c>
      <c r="C43" s="1">
        <v>24097</v>
      </c>
      <c r="D43" s="1">
        <v>25641</v>
      </c>
      <c r="E43" s="1">
        <v>0</v>
      </c>
      <c r="F43" s="1">
        <v>0</v>
      </c>
    </row>
    <row r="44" spans="1:6" ht="18" customHeight="1">
      <c r="A44" s="5" t="s">
        <v>33</v>
      </c>
      <c r="B44" s="1">
        <v>49000</v>
      </c>
      <c r="C44" s="1">
        <v>30000</v>
      </c>
      <c r="D44" s="1">
        <v>100000</v>
      </c>
      <c r="E44" s="1">
        <v>100000</v>
      </c>
      <c r="F44" s="1">
        <v>48000</v>
      </c>
    </row>
    <row r="45" spans="1:6" ht="18" customHeight="1">
      <c r="A45" s="5" t="s">
        <v>34</v>
      </c>
      <c r="B45" s="1">
        <v>44630</v>
      </c>
      <c r="C45" s="1">
        <v>51405</v>
      </c>
      <c r="D45" s="1">
        <v>54550</v>
      </c>
      <c r="E45" s="1">
        <v>104686</v>
      </c>
      <c r="F45" s="1">
        <v>54500</v>
      </c>
    </row>
    <row r="46" spans="1:6" ht="18" customHeight="1">
      <c r="A46" s="5" t="s">
        <v>35</v>
      </c>
      <c r="B46" s="1">
        <v>123344</v>
      </c>
      <c r="C46" s="1">
        <v>149679</v>
      </c>
      <c r="D46" s="1">
        <v>154776</v>
      </c>
      <c r="E46" s="1">
        <v>154776</v>
      </c>
      <c r="F46" s="1">
        <v>156753</v>
      </c>
    </row>
    <row r="47" spans="1:6" ht="18" customHeight="1">
      <c r="A47" s="5" t="s">
        <v>36</v>
      </c>
      <c r="B47" s="1">
        <v>148314</v>
      </c>
      <c r="C47" s="1">
        <v>154067</v>
      </c>
      <c r="D47" s="1">
        <v>165319</v>
      </c>
      <c r="E47" s="1">
        <v>182014</v>
      </c>
      <c r="F47" s="1">
        <v>176799</v>
      </c>
    </row>
    <row r="48" spans="1:6" ht="18" customHeight="1">
      <c r="A48" s="5" t="s">
        <v>37</v>
      </c>
      <c r="B48" s="1">
        <v>11160</v>
      </c>
      <c r="C48" s="1">
        <v>10413</v>
      </c>
      <c r="D48" s="1">
        <v>10561</v>
      </c>
      <c r="E48" s="1">
        <v>10561</v>
      </c>
      <c r="F48" s="1">
        <v>12538</v>
      </c>
    </row>
    <row r="49" spans="1:6" ht="18" customHeight="1">
      <c r="A49" s="5" t="s">
        <v>38</v>
      </c>
      <c r="B49" s="1">
        <v>18003</v>
      </c>
      <c r="C49" s="1">
        <v>18352</v>
      </c>
      <c r="D49" s="1">
        <v>21365</v>
      </c>
      <c r="E49" s="1">
        <v>48703</v>
      </c>
      <c r="F49" s="1">
        <v>29909</v>
      </c>
    </row>
    <row r="50" spans="1:6" ht="18" customHeight="1">
      <c r="A50" s="5" t="s">
        <v>39</v>
      </c>
      <c r="B50" s="1">
        <v>220938</v>
      </c>
      <c r="C50" s="1">
        <v>221095</v>
      </c>
      <c r="D50" s="1">
        <v>224315</v>
      </c>
      <c r="E50" s="1">
        <v>226682</v>
      </c>
      <c r="F50" s="1">
        <v>78545</v>
      </c>
    </row>
    <row r="51" spans="1:6" ht="18" customHeight="1">
      <c r="A51" s="5" t="s">
        <v>40</v>
      </c>
      <c r="B51" s="1">
        <v>0</v>
      </c>
      <c r="C51" s="1">
        <v>55185</v>
      </c>
      <c r="D51" s="1">
        <v>62387</v>
      </c>
      <c r="E51" s="1">
        <v>226527</v>
      </c>
      <c r="F51" s="1">
        <v>233852</v>
      </c>
    </row>
    <row r="52" spans="1:6" ht="18" customHeight="1">
      <c r="A52" s="5" t="s">
        <v>41</v>
      </c>
      <c r="B52" s="1">
        <v>51183</v>
      </c>
      <c r="C52" s="1">
        <v>53255</v>
      </c>
      <c r="D52" s="1">
        <v>52993</v>
      </c>
      <c r="E52" s="1">
        <v>63128</v>
      </c>
      <c r="F52" s="1">
        <v>64259</v>
      </c>
    </row>
    <row r="53" spans="1:6" ht="18" customHeight="1">
      <c r="A53" s="5" t="s">
        <v>42</v>
      </c>
      <c r="B53" s="1">
        <v>1603437</v>
      </c>
      <c r="C53" s="1">
        <v>1695998</v>
      </c>
      <c r="D53" s="1">
        <v>1732627</v>
      </c>
      <c r="E53" s="1">
        <v>1793958</v>
      </c>
      <c r="F53" s="1">
        <v>1793958</v>
      </c>
    </row>
    <row r="54" spans="1:6" ht="18" customHeight="1">
      <c r="A54" s="5" t="s">
        <v>43</v>
      </c>
      <c r="B54" s="1">
        <v>4000</v>
      </c>
      <c r="C54" s="1">
        <v>5000</v>
      </c>
      <c r="D54" s="1">
        <v>0</v>
      </c>
      <c r="E54" s="1">
        <v>5000</v>
      </c>
      <c r="F54" s="1">
        <v>5000</v>
      </c>
    </row>
    <row r="55" spans="1:6" ht="18" customHeight="1">
      <c r="A55" s="5" t="s">
        <v>44</v>
      </c>
      <c r="B55" s="1">
        <v>300992</v>
      </c>
      <c r="C55" s="1">
        <v>396558</v>
      </c>
      <c r="D55" s="1">
        <v>415871</v>
      </c>
      <c r="E55" s="1">
        <v>487973</v>
      </c>
      <c r="F55" s="1">
        <v>487973</v>
      </c>
    </row>
    <row r="56" spans="1:6" ht="18" customHeight="1">
      <c r="A56" s="5" t="s">
        <v>45</v>
      </c>
      <c r="B56" s="1">
        <v>22732</v>
      </c>
      <c r="C56" s="1">
        <v>23221</v>
      </c>
      <c r="D56" s="1">
        <v>23374</v>
      </c>
      <c r="E56" s="1">
        <v>23592</v>
      </c>
      <c r="F56" s="1">
        <v>24036</v>
      </c>
    </row>
    <row r="57" spans="1:6" ht="18" customHeight="1">
      <c r="A57" s="5" t="s">
        <v>46</v>
      </c>
      <c r="B57" s="1">
        <v>62927</v>
      </c>
      <c r="C57" s="1">
        <v>64803</v>
      </c>
      <c r="D57" s="1">
        <v>93526</v>
      </c>
      <c r="E57" s="1">
        <v>92861</v>
      </c>
      <c r="F57" s="1">
        <v>89893</v>
      </c>
    </row>
    <row r="58" spans="1:6" ht="18" customHeight="1">
      <c r="A58" s="5" t="s">
        <v>47</v>
      </c>
      <c r="B58" s="1">
        <v>5161</v>
      </c>
      <c r="C58" s="1">
        <v>5039</v>
      </c>
      <c r="D58" s="1">
        <v>5049</v>
      </c>
      <c r="E58" s="1">
        <v>14603</v>
      </c>
      <c r="F58" s="1">
        <v>7855</v>
      </c>
    </row>
    <row r="59" spans="1:6" ht="18" customHeight="1">
      <c r="A59" s="1" t="s">
        <v>211</v>
      </c>
      <c r="B59" s="1">
        <v>0</v>
      </c>
      <c r="C59" s="1">
        <v>0</v>
      </c>
      <c r="D59" s="1">
        <v>990</v>
      </c>
      <c r="E59" s="1">
        <v>0</v>
      </c>
      <c r="F59" s="1">
        <v>0</v>
      </c>
    </row>
    <row r="60" spans="1:6" ht="18" customHeight="1">
      <c r="A60" s="5" t="s">
        <v>48</v>
      </c>
      <c r="B60" s="1">
        <v>75087</v>
      </c>
      <c r="C60" s="1">
        <v>80150</v>
      </c>
      <c r="D60" s="1">
        <v>83176</v>
      </c>
      <c r="E60" s="1">
        <v>83832</v>
      </c>
      <c r="F60" s="1">
        <v>81565</v>
      </c>
    </row>
    <row r="61" spans="1:6" ht="18" customHeight="1">
      <c r="A61" s="5" t="s">
        <v>49</v>
      </c>
      <c r="B61" s="1">
        <v>88786</v>
      </c>
      <c r="C61" s="1">
        <v>59618</v>
      </c>
      <c r="D61" s="1">
        <v>0</v>
      </c>
      <c r="E61" s="1">
        <v>0</v>
      </c>
      <c r="F61" s="1">
        <v>0</v>
      </c>
    </row>
    <row r="62" spans="1:6" ht="18" customHeight="1">
      <c r="A62" s="3" t="s">
        <v>50</v>
      </c>
      <c r="B62" s="3">
        <v>18167947</v>
      </c>
      <c r="C62" s="3">
        <f>SUM(C25:C61)</f>
        <v>19917075</v>
      </c>
      <c r="D62" s="3">
        <f>SUM(D25:D61)</f>
        <v>21701350</v>
      </c>
      <c r="E62" s="3">
        <f>SUM(E25:E61)</f>
        <v>23420296</v>
      </c>
      <c r="F62" s="3">
        <f>SUM(F25:F61)</f>
        <v>23711098</v>
      </c>
    </row>
    <row r="63" spans="1:6" ht="18" customHeight="1">
      <c r="A63" s="3"/>
      <c r="B63" s="3"/>
      <c r="C63" s="3"/>
      <c r="D63" s="3"/>
      <c r="E63" s="3"/>
      <c r="F63" s="3"/>
    </row>
    <row r="64" ht="18" customHeight="1">
      <c r="A64" s="5"/>
    </row>
    <row r="65" ht="18" customHeight="1">
      <c r="A65" s="3" t="s">
        <v>51</v>
      </c>
    </row>
    <row r="66" spans="1:6" ht="18" customHeight="1">
      <c r="A66" s="5" t="s">
        <v>52</v>
      </c>
      <c r="B66" s="1">
        <v>377111</v>
      </c>
      <c r="C66" s="1">
        <v>479075</v>
      </c>
      <c r="D66" s="1">
        <v>224335</v>
      </c>
      <c r="E66" s="1">
        <v>434627</v>
      </c>
      <c r="F66" s="1">
        <v>407558</v>
      </c>
    </row>
    <row r="67" spans="1:6" ht="18" customHeight="1">
      <c r="A67" s="5" t="s">
        <v>53</v>
      </c>
      <c r="B67" s="1">
        <v>92223</v>
      </c>
      <c r="C67" s="1">
        <v>83574</v>
      </c>
      <c r="D67" s="1">
        <v>82234</v>
      </c>
      <c r="E67" s="1">
        <v>82234</v>
      </c>
      <c r="F67" s="1">
        <v>81925</v>
      </c>
    </row>
    <row r="68" spans="1:6" ht="18" customHeight="1">
      <c r="A68" s="5" t="s">
        <v>54</v>
      </c>
      <c r="B68" s="1">
        <v>47107</v>
      </c>
      <c r="C68" s="1">
        <v>42858</v>
      </c>
      <c r="D68" s="1">
        <v>55863</v>
      </c>
      <c r="E68" s="1">
        <v>58008</v>
      </c>
      <c r="F68" s="1">
        <v>43263</v>
      </c>
    </row>
    <row r="69" spans="1:6" ht="18" customHeight="1">
      <c r="A69" s="1" t="s">
        <v>197</v>
      </c>
      <c r="B69" s="1">
        <v>0</v>
      </c>
      <c r="C69" s="1">
        <v>33000</v>
      </c>
      <c r="D69" s="1">
        <v>34009</v>
      </c>
      <c r="E69" s="1">
        <v>33213</v>
      </c>
      <c r="F69" s="1">
        <v>32576</v>
      </c>
    </row>
    <row r="70" spans="1:6" ht="18" customHeight="1">
      <c r="A70" s="5" t="s">
        <v>55</v>
      </c>
      <c r="B70" s="1">
        <v>884201</v>
      </c>
      <c r="C70" s="1">
        <v>845801</v>
      </c>
      <c r="D70" s="1">
        <v>876634</v>
      </c>
      <c r="E70" s="1">
        <v>859386</v>
      </c>
      <c r="F70" s="1">
        <v>902677</v>
      </c>
    </row>
    <row r="71" spans="1:6" ht="18" customHeight="1">
      <c r="A71" s="1" t="s">
        <v>198</v>
      </c>
      <c r="B71" s="1">
        <v>0</v>
      </c>
      <c r="C71" s="1">
        <v>48123</v>
      </c>
      <c r="D71" s="1">
        <v>2027</v>
      </c>
      <c r="E71" s="1">
        <v>77835</v>
      </c>
      <c r="F71" s="1">
        <v>35692</v>
      </c>
    </row>
    <row r="72" spans="1:6" ht="18" customHeight="1">
      <c r="A72" s="1" t="s">
        <v>212</v>
      </c>
      <c r="B72" s="1">
        <v>0</v>
      </c>
      <c r="C72" s="1">
        <v>0</v>
      </c>
      <c r="D72" s="1">
        <v>104795</v>
      </c>
      <c r="E72" s="1">
        <v>100000</v>
      </c>
      <c r="F72" s="1">
        <v>100000</v>
      </c>
    </row>
    <row r="73" spans="1:6" ht="18" customHeight="1">
      <c r="A73" s="5" t="s">
        <v>56</v>
      </c>
      <c r="B73" s="1">
        <v>173219</v>
      </c>
      <c r="C73" s="1">
        <v>46963</v>
      </c>
      <c r="D73" s="1">
        <v>48770</v>
      </c>
      <c r="E73" s="1">
        <v>51431</v>
      </c>
      <c r="F73" s="1">
        <v>53257</v>
      </c>
    </row>
    <row r="74" spans="1:6" ht="18" customHeight="1">
      <c r="A74" s="5" t="s">
        <v>57</v>
      </c>
      <c r="B74" s="1">
        <v>278207</v>
      </c>
      <c r="C74" s="1">
        <v>249567</v>
      </c>
      <c r="D74" s="1">
        <v>244181</v>
      </c>
      <c r="E74" s="1">
        <v>225000</v>
      </c>
      <c r="F74" s="1">
        <v>149524</v>
      </c>
    </row>
    <row r="75" spans="1:6" ht="18" customHeight="1">
      <c r="A75" s="5" t="s">
        <v>58</v>
      </c>
      <c r="B75" s="1">
        <v>0</v>
      </c>
      <c r="C75" s="1">
        <v>309835</v>
      </c>
      <c r="D75" s="1">
        <v>214954</v>
      </c>
      <c r="E75" s="1">
        <v>250000</v>
      </c>
      <c r="F75" s="1">
        <v>137000</v>
      </c>
    </row>
    <row r="76" spans="1:6" ht="18" customHeight="1">
      <c r="A76" s="1" t="s">
        <v>203</v>
      </c>
      <c r="B76" s="1">
        <v>0</v>
      </c>
      <c r="C76" s="1">
        <v>0</v>
      </c>
      <c r="D76" s="1">
        <v>476897</v>
      </c>
      <c r="E76" s="1">
        <v>325000</v>
      </c>
      <c r="F76" s="1">
        <v>225000</v>
      </c>
    </row>
    <row r="77" spans="1:6" ht="18" customHeight="1">
      <c r="A77" s="5" t="s">
        <v>59</v>
      </c>
      <c r="B77" s="1">
        <v>2049</v>
      </c>
      <c r="C77" s="1">
        <v>3231</v>
      </c>
      <c r="D77" s="1">
        <v>40096</v>
      </c>
      <c r="E77" s="1">
        <v>50000</v>
      </c>
      <c r="F77" s="1">
        <v>50000</v>
      </c>
    </row>
    <row r="78" spans="1:6" ht="18" customHeight="1">
      <c r="A78" s="3" t="s">
        <v>60</v>
      </c>
      <c r="B78" s="3">
        <v>1854117</v>
      </c>
      <c r="C78" s="3">
        <f>SUM(C66:C77)</f>
        <v>2142027</v>
      </c>
      <c r="D78" s="3">
        <f>SUM(D66:D77)</f>
        <v>2404795</v>
      </c>
      <c r="E78" s="3">
        <f>SUM(E66:E77)</f>
        <v>2546734</v>
      </c>
      <c r="F78" s="3">
        <f>SUM(F66:F77)</f>
        <v>2218472</v>
      </c>
    </row>
    <row r="80" spans="1:6" ht="18" customHeight="1">
      <c r="A80" s="3" t="s">
        <v>61</v>
      </c>
      <c r="B80" s="3">
        <v>37408078</v>
      </c>
      <c r="C80" s="3">
        <f>C78+C62+C22</f>
        <v>40923461</v>
      </c>
      <c r="D80" s="3">
        <f>D78+D62+D22</f>
        <v>43060501</v>
      </c>
      <c r="E80" s="3">
        <f>E78+E62+E22</f>
        <v>47616977</v>
      </c>
      <c r="F80" s="3">
        <f>F78+F62+F22</f>
        <v>48804072</v>
      </c>
    </row>
    <row r="83" ht="18" customHeight="1">
      <c r="A83" s="3" t="s">
        <v>62</v>
      </c>
    </row>
    <row r="84" ht="18" customHeight="1">
      <c r="A84" s="3" t="s">
        <v>63</v>
      </c>
    </row>
    <row r="85" spans="1:6" ht="18" customHeight="1">
      <c r="A85" s="5" t="s">
        <v>64</v>
      </c>
      <c r="B85" s="1">
        <v>14600672</v>
      </c>
      <c r="C85" s="1">
        <f>25750+16599840</f>
        <v>16625590</v>
      </c>
      <c r="D85" s="1">
        <v>17203369</v>
      </c>
      <c r="E85" s="1">
        <v>18552162</v>
      </c>
      <c r="F85" s="1">
        <v>19101639</v>
      </c>
    </row>
    <row r="86" spans="1:6" ht="18" customHeight="1">
      <c r="A86" s="5" t="s">
        <v>65</v>
      </c>
      <c r="B86" s="1">
        <v>1537</v>
      </c>
      <c r="C86" s="1">
        <v>559</v>
      </c>
      <c r="D86" s="1">
        <v>635</v>
      </c>
      <c r="E86" s="1">
        <v>0</v>
      </c>
      <c r="F86" s="1">
        <v>0</v>
      </c>
    </row>
    <row r="87" spans="1:6" ht="18" customHeight="1">
      <c r="A87" s="5" t="s">
        <v>66</v>
      </c>
      <c r="B87" s="1">
        <v>826063</v>
      </c>
      <c r="C87" s="1">
        <v>1098589</v>
      </c>
      <c r="D87" s="1">
        <v>1317482</v>
      </c>
      <c r="E87" s="1">
        <f>1282027-12500</f>
        <v>1269527</v>
      </c>
      <c r="F87" s="1">
        <v>1361891</v>
      </c>
    </row>
    <row r="88" spans="1:6" ht="18" customHeight="1">
      <c r="A88" s="5" t="s">
        <v>67</v>
      </c>
      <c r="B88" s="1">
        <v>59699</v>
      </c>
      <c r="C88" s="1">
        <v>68876</v>
      </c>
      <c r="D88" s="1">
        <v>70301</v>
      </c>
      <c r="E88" s="1">
        <f>20544651-20444801</f>
        <v>99850</v>
      </c>
      <c r="F88" s="1">
        <v>54805</v>
      </c>
    </row>
    <row r="89" spans="1:6" ht="18" customHeight="1">
      <c r="A89" s="3" t="s">
        <v>68</v>
      </c>
      <c r="B89" s="3">
        <v>15487971</v>
      </c>
      <c r="C89" s="3">
        <f>SUM(C85:C88)</f>
        <v>17793614</v>
      </c>
      <c r="D89" s="3">
        <f>SUM(D85:D88)</f>
        <v>18591787</v>
      </c>
      <c r="E89" s="3">
        <f>SUM(E85:E88)</f>
        <v>19921539</v>
      </c>
      <c r="F89" s="3">
        <f>SUM(F85:F88)</f>
        <v>20518335</v>
      </c>
    </row>
    <row r="90" spans="1:6" ht="18" customHeight="1">
      <c r="A90" s="5" t="s">
        <v>69</v>
      </c>
      <c r="B90" s="1">
        <v>3112547</v>
      </c>
      <c r="C90" s="1">
        <v>3556086</v>
      </c>
      <c r="D90" s="1">
        <v>4382386</v>
      </c>
      <c r="E90" s="1">
        <v>4799750</v>
      </c>
      <c r="F90" s="1">
        <v>4773801</v>
      </c>
    </row>
    <row r="91" spans="1:6" ht="18" customHeight="1">
      <c r="A91" s="5" t="s">
        <v>70</v>
      </c>
      <c r="B91" s="1">
        <v>1185533</v>
      </c>
      <c r="C91" s="1">
        <v>1351598</v>
      </c>
      <c r="D91" s="1">
        <v>1429199</v>
      </c>
      <c r="E91" s="1">
        <v>1395632</v>
      </c>
      <c r="F91" s="1">
        <v>1447780</v>
      </c>
    </row>
    <row r="92" spans="1:6" ht="18" customHeight="1">
      <c r="A92" s="5" t="s">
        <v>71</v>
      </c>
      <c r="B92" s="1">
        <v>3896186</v>
      </c>
      <c r="C92" s="1">
        <v>4677479</v>
      </c>
      <c r="D92" s="1">
        <v>5070658</v>
      </c>
      <c r="E92" s="1">
        <v>5442072</v>
      </c>
      <c r="F92" s="1">
        <v>5870778</v>
      </c>
    </row>
    <row r="93" spans="1:6" ht="18" customHeight="1">
      <c r="A93" s="1" t="s">
        <v>199</v>
      </c>
      <c r="B93" s="1">
        <v>330348</v>
      </c>
      <c r="C93" s="1">
        <v>480802</v>
      </c>
      <c r="D93" s="1">
        <v>412487</v>
      </c>
      <c r="E93" s="1">
        <f>12529441-12081941</f>
        <v>447500</v>
      </c>
      <c r="F93" s="1">
        <v>215000</v>
      </c>
    </row>
    <row r="94" spans="1:6" ht="18" customHeight="1">
      <c r="A94" s="3" t="s">
        <v>72</v>
      </c>
      <c r="B94" s="3">
        <v>8524614</v>
      </c>
      <c r="C94" s="3">
        <f>SUM(C90:C93)</f>
        <v>10065965</v>
      </c>
      <c r="D94" s="3">
        <f>SUM(D90:D93)</f>
        <v>11294730</v>
      </c>
      <c r="E94" s="3">
        <f>SUM(E90:E93)</f>
        <v>12084954</v>
      </c>
      <c r="F94" s="3">
        <f>SUM(F90:F93)</f>
        <v>12307359</v>
      </c>
    </row>
    <row r="95" spans="1:6" ht="18" customHeight="1">
      <c r="A95" s="5" t="s">
        <v>73</v>
      </c>
      <c r="B95" s="1">
        <v>736009</v>
      </c>
      <c r="C95" s="1">
        <v>817707</v>
      </c>
      <c r="D95" s="1">
        <v>931739</v>
      </c>
      <c r="E95" s="1">
        <f>630935</f>
        <v>630935</v>
      </c>
      <c r="F95" s="1">
        <f>904820</f>
        <v>904820</v>
      </c>
    </row>
    <row r="96" spans="1:6" ht="18" customHeight="1">
      <c r="A96" s="1" t="s">
        <v>99</v>
      </c>
      <c r="B96" s="1">
        <v>0</v>
      </c>
      <c r="C96" s="1">
        <v>0</v>
      </c>
      <c r="D96" s="1">
        <v>0</v>
      </c>
      <c r="E96" s="1">
        <v>4175</v>
      </c>
      <c r="F96" s="1">
        <v>6675</v>
      </c>
    </row>
    <row r="97" spans="1:6" ht="18" customHeight="1">
      <c r="A97" s="5" t="s">
        <v>74</v>
      </c>
      <c r="B97" s="1">
        <v>264472</v>
      </c>
      <c r="C97" s="1">
        <f>2775+306556</f>
        <v>309331</v>
      </c>
      <c r="D97" s="1">
        <f>6225+220392</f>
        <v>226617</v>
      </c>
      <c r="E97" s="1">
        <f>249409</f>
        <v>249409</v>
      </c>
      <c r="F97" s="1">
        <f>134319</f>
        <v>134319</v>
      </c>
    </row>
    <row r="98" spans="1:6" ht="18" customHeight="1">
      <c r="A98" s="5" t="s">
        <v>75</v>
      </c>
      <c r="B98" s="1">
        <v>78213</v>
      </c>
      <c r="C98" s="1">
        <v>91334</v>
      </c>
      <c r="D98" s="1">
        <v>86278</v>
      </c>
      <c r="E98" s="1">
        <v>112500</v>
      </c>
      <c r="F98" s="1">
        <v>112500</v>
      </c>
    </row>
    <row r="99" spans="1:6" ht="18" customHeight="1">
      <c r="A99" s="5" t="s">
        <v>76</v>
      </c>
      <c r="B99" s="1">
        <v>578548</v>
      </c>
      <c r="C99" s="1">
        <v>584981</v>
      </c>
      <c r="D99" s="1">
        <v>594192</v>
      </c>
      <c r="E99" s="1">
        <v>665051</v>
      </c>
      <c r="F99" s="1">
        <v>593550</v>
      </c>
    </row>
    <row r="100" spans="1:6" ht="18" customHeight="1">
      <c r="A100" s="5" t="s">
        <v>77</v>
      </c>
      <c r="B100" s="1">
        <v>51946</v>
      </c>
      <c r="C100" s="1">
        <f>655458-584981</f>
        <v>70477</v>
      </c>
      <c r="D100" s="1">
        <f>694640-594192</f>
        <v>100448</v>
      </c>
      <c r="E100" s="1">
        <f>48750+14603+25250</f>
        <v>88603</v>
      </c>
      <c r="F100" s="1">
        <f>106196+7855+17500</f>
        <v>131551</v>
      </c>
    </row>
    <row r="101" spans="1:6" ht="18" customHeight="1">
      <c r="A101" s="5" t="s">
        <v>78</v>
      </c>
      <c r="B101" s="1">
        <v>83057</v>
      </c>
      <c r="C101" s="1">
        <v>141282</v>
      </c>
      <c r="D101" s="1">
        <v>122286</v>
      </c>
      <c r="E101" s="1">
        <f>136902-1604</f>
        <v>135298</v>
      </c>
      <c r="F101" s="1">
        <v>91547</v>
      </c>
    </row>
    <row r="102" spans="1:6" ht="18" customHeight="1">
      <c r="A102" s="5" t="s">
        <v>79</v>
      </c>
      <c r="B102" s="1">
        <v>38603</v>
      </c>
      <c r="C102" s="1">
        <v>27931</v>
      </c>
      <c r="D102" s="1">
        <v>15414</v>
      </c>
      <c r="E102" s="1">
        <v>29658</v>
      </c>
      <c r="F102" s="1">
        <v>32500</v>
      </c>
    </row>
    <row r="103" spans="1:6" ht="18" customHeight="1">
      <c r="A103" s="3" t="s">
        <v>80</v>
      </c>
      <c r="B103" s="3">
        <v>25843433</v>
      </c>
      <c r="C103" s="3">
        <f>C89+C94+SUM(C95:C102)</f>
        <v>29902622</v>
      </c>
      <c r="D103" s="3">
        <f>D89+D94+SUM(D95:D102)</f>
        <v>31963491</v>
      </c>
      <c r="E103" s="3">
        <f>E89+E94+SUM(E95:E102)</f>
        <v>33922122</v>
      </c>
      <c r="F103" s="3">
        <f>F89+F94+SUM(F95:F102)</f>
        <v>34833156</v>
      </c>
    </row>
    <row r="104" ht="18" customHeight="1">
      <c r="A104" s="5"/>
    </row>
    <row r="105" ht="18" customHeight="1">
      <c r="A105" s="3" t="s">
        <v>81</v>
      </c>
    </row>
    <row r="106" spans="1:6" ht="18" customHeight="1">
      <c r="A106" s="5" t="s">
        <v>82</v>
      </c>
      <c r="B106" s="1">
        <v>605618</v>
      </c>
      <c r="C106" s="1">
        <f>580336</f>
        <v>580336</v>
      </c>
      <c r="D106" s="1">
        <v>638768</v>
      </c>
      <c r="E106" s="1">
        <v>785612</v>
      </c>
      <c r="F106" s="1">
        <v>824944</v>
      </c>
    </row>
    <row r="107" spans="1:6" ht="18" customHeight="1">
      <c r="A107" s="5" t="s">
        <v>83</v>
      </c>
      <c r="B107" s="1">
        <v>0</v>
      </c>
      <c r="C107" s="1">
        <v>53625</v>
      </c>
      <c r="D107" s="1">
        <v>61713</v>
      </c>
      <c r="E107" s="1">
        <v>74515</v>
      </c>
      <c r="F107" s="1">
        <v>65545</v>
      </c>
    </row>
    <row r="108" spans="1:6" ht="18" customHeight="1">
      <c r="A108" s="1" t="s">
        <v>200</v>
      </c>
      <c r="B108" s="1">
        <v>0</v>
      </c>
      <c r="C108" s="1">
        <v>46266</v>
      </c>
      <c r="D108" s="1">
        <v>10921</v>
      </c>
      <c r="E108" s="1">
        <v>12500</v>
      </c>
      <c r="F108" s="1">
        <v>0</v>
      </c>
    </row>
    <row r="109" spans="1:6" ht="18" customHeight="1">
      <c r="A109" s="3" t="s">
        <v>68</v>
      </c>
      <c r="B109" s="3">
        <v>605618</v>
      </c>
      <c r="C109" s="3">
        <f>SUM(C106:C108)</f>
        <v>680227</v>
      </c>
      <c r="D109" s="3">
        <f>SUM(D106:D108)</f>
        <v>711402</v>
      </c>
      <c r="E109" s="3">
        <f>SUM(E106:E108)</f>
        <v>872627</v>
      </c>
      <c r="F109" s="3">
        <f>SUM(F106:F108)</f>
        <v>890489</v>
      </c>
    </row>
    <row r="110" spans="1:6" ht="18" customHeight="1">
      <c r="A110" s="5" t="s">
        <v>69</v>
      </c>
      <c r="B110" s="1">
        <v>131149</v>
      </c>
      <c r="C110" s="1">
        <v>144500</v>
      </c>
      <c r="D110" s="1">
        <f>152360+12823</f>
        <v>165183</v>
      </c>
      <c r="E110" s="1">
        <f>189073+18144</f>
        <v>207217</v>
      </c>
      <c r="F110" s="1">
        <v>216402</v>
      </c>
    </row>
    <row r="111" spans="1:6" ht="18" customHeight="1">
      <c r="A111" s="5" t="s">
        <v>70</v>
      </c>
      <c r="B111" s="1">
        <v>49521</v>
      </c>
      <c r="C111" s="1">
        <v>50338</v>
      </c>
      <c r="D111" s="1">
        <f>49200+4141</f>
        <v>53341</v>
      </c>
      <c r="E111" s="1">
        <f>61056+5700</f>
        <v>66756</v>
      </c>
      <c r="F111" s="1">
        <v>68122</v>
      </c>
    </row>
    <row r="112" spans="1:6" ht="18" customHeight="1">
      <c r="A112" s="5" t="s">
        <v>71</v>
      </c>
      <c r="B112" s="1">
        <v>178049</v>
      </c>
      <c r="C112" s="1">
        <v>231342</v>
      </c>
      <c r="D112" s="1">
        <f>210516+19008</f>
        <v>229524</v>
      </c>
      <c r="E112" s="1">
        <f>239358+19806</f>
        <v>259164</v>
      </c>
      <c r="F112" s="1">
        <v>328579</v>
      </c>
    </row>
    <row r="113" spans="1:6" ht="18" customHeight="1">
      <c r="A113" s="3" t="s">
        <v>72</v>
      </c>
      <c r="B113" s="3">
        <v>358719</v>
      </c>
      <c r="C113" s="3">
        <f>SUM(C110:C112)</f>
        <v>426180</v>
      </c>
      <c r="D113" s="3">
        <f>SUM(D110:D112)</f>
        <v>448048</v>
      </c>
      <c r="E113" s="3">
        <f>SUM(E110:E112)</f>
        <v>533137</v>
      </c>
      <c r="F113" s="3">
        <f>SUM(F110:F112)</f>
        <v>613103</v>
      </c>
    </row>
    <row r="114" spans="1:6" ht="18" customHeight="1">
      <c r="A114" s="5" t="s">
        <v>73</v>
      </c>
      <c r="B114" s="1">
        <v>50274</v>
      </c>
      <c r="C114" s="1">
        <v>57398</v>
      </c>
      <c r="D114" s="1">
        <v>59773</v>
      </c>
      <c r="E114" s="1">
        <v>72774</v>
      </c>
      <c r="F114" s="1">
        <v>64558</v>
      </c>
    </row>
    <row r="115" spans="1:6" ht="18" customHeight="1">
      <c r="A115" s="5" t="s">
        <v>74</v>
      </c>
      <c r="B115" s="1">
        <v>5822</v>
      </c>
      <c r="C115" s="1">
        <v>10577</v>
      </c>
      <c r="D115" s="1">
        <v>7873</v>
      </c>
      <c r="E115" s="1">
        <v>22400</v>
      </c>
      <c r="F115" s="1">
        <v>23600</v>
      </c>
    </row>
    <row r="116" spans="1:6" ht="18" customHeight="1">
      <c r="A116" s="5" t="s">
        <v>76</v>
      </c>
      <c r="B116" s="1">
        <v>22464</v>
      </c>
      <c r="C116" s="1">
        <v>21257</v>
      </c>
      <c r="D116" s="1">
        <v>28749</v>
      </c>
      <c r="E116" s="1">
        <f>15825+11250</f>
        <v>27075</v>
      </c>
      <c r="F116" s="1">
        <v>31000</v>
      </c>
    </row>
    <row r="117" spans="1:6" ht="18" customHeight="1">
      <c r="A117" s="5" t="s">
        <v>78</v>
      </c>
      <c r="B117" s="1">
        <v>3422</v>
      </c>
      <c r="C117" s="1">
        <v>0</v>
      </c>
      <c r="D117" s="1">
        <v>620</v>
      </c>
      <c r="E117" s="1">
        <v>1604</v>
      </c>
      <c r="F117" s="1">
        <v>2328</v>
      </c>
    </row>
    <row r="118" spans="1:6" ht="18" customHeight="1">
      <c r="A118" s="5" t="s">
        <v>79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</row>
    <row r="119" spans="1:6" ht="18" customHeight="1">
      <c r="A119" s="3" t="s">
        <v>84</v>
      </c>
      <c r="B119" s="3">
        <v>1046319</v>
      </c>
      <c r="C119" s="3">
        <f>C109+C113+SUM(C114:C118)</f>
        <v>1195639</v>
      </c>
      <c r="D119" s="3">
        <f>D109+D113+SUM(D114:D118)</f>
        <v>1256465</v>
      </c>
      <c r="E119" s="3">
        <f>E109+E113+SUM(E114:E118)</f>
        <v>1529617</v>
      </c>
      <c r="F119" s="3">
        <f>F109+F113+SUM(F114:F118)</f>
        <v>1625078</v>
      </c>
    </row>
    <row r="120" ht="18" customHeight="1">
      <c r="A120" s="3"/>
    </row>
    <row r="121" ht="18" customHeight="1">
      <c r="A121" s="3" t="s">
        <v>85</v>
      </c>
    </row>
    <row r="122" spans="1:6" ht="18" customHeight="1">
      <c r="A122" s="5" t="s">
        <v>86</v>
      </c>
      <c r="B122" s="1">
        <v>330160</v>
      </c>
      <c r="C122" s="1">
        <v>350855</v>
      </c>
      <c r="D122" s="1">
        <v>346664</v>
      </c>
      <c r="E122" s="1">
        <v>412014</v>
      </c>
      <c r="F122" s="1">
        <v>377795</v>
      </c>
    </row>
    <row r="123" spans="1:6" ht="18" customHeight="1">
      <c r="A123" s="3" t="s">
        <v>68</v>
      </c>
      <c r="B123" s="3">
        <v>330160</v>
      </c>
      <c r="C123" s="3">
        <f>C122</f>
        <v>350855</v>
      </c>
      <c r="D123" s="3">
        <f>D122</f>
        <v>346664</v>
      </c>
      <c r="E123" s="3">
        <f>E122</f>
        <v>412014</v>
      </c>
      <c r="F123" s="3">
        <f>F122</f>
        <v>377795</v>
      </c>
    </row>
    <row r="124" spans="1:6" ht="18" customHeight="1">
      <c r="A124" s="5" t="s">
        <v>69</v>
      </c>
      <c r="B124" s="1">
        <v>66890</v>
      </c>
      <c r="C124" s="1">
        <v>77048</v>
      </c>
      <c r="D124" s="1">
        <v>90852</v>
      </c>
      <c r="E124" s="1">
        <v>85761</v>
      </c>
      <c r="F124" s="1">
        <v>89500</v>
      </c>
    </row>
    <row r="125" spans="1:6" ht="18" customHeight="1">
      <c r="A125" s="5" t="s">
        <v>70</v>
      </c>
      <c r="B125" s="1">
        <v>25257</v>
      </c>
      <c r="C125" s="1">
        <v>26840</v>
      </c>
      <c r="D125" s="1">
        <v>25492</v>
      </c>
      <c r="E125" s="1">
        <v>27694</v>
      </c>
      <c r="F125" s="1">
        <v>28901</v>
      </c>
    </row>
    <row r="126" spans="1:6" ht="18" customHeight="1">
      <c r="A126" s="5" t="s">
        <v>71</v>
      </c>
      <c r="B126" s="1">
        <v>90815</v>
      </c>
      <c r="C126" s="1">
        <v>126350</v>
      </c>
      <c r="D126" s="1">
        <v>113952</v>
      </c>
      <c r="E126" s="1">
        <v>118738</v>
      </c>
      <c r="F126" s="1">
        <v>119290</v>
      </c>
    </row>
    <row r="127" spans="1:6" ht="18" customHeight="1">
      <c r="A127" s="3" t="s">
        <v>72</v>
      </c>
      <c r="B127" s="3">
        <v>182962</v>
      </c>
      <c r="C127" s="3">
        <f>SUM(C124:C126)</f>
        <v>230238</v>
      </c>
      <c r="D127" s="3">
        <f>SUM(D124:D126)</f>
        <v>230296</v>
      </c>
      <c r="E127" s="3">
        <f>SUM(E124:E126)</f>
        <v>232193</v>
      </c>
      <c r="F127" s="3">
        <f>SUM(F124:F126)</f>
        <v>237691</v>
      </c>
    </row>
    <row r="128" spans="1:6" ht="18" customHeight="1">
      <c r="A128" s="5" t="s">
        <v>73</v>
      </c>
      <c r="B128" s="1">
        <v>6134</v>
      </c>
      <c r="C128" s="1">
        <v>0</v>
      </c>
      <c r="D128" s="1">
        <v>0</v>
      </c>
      <c r="E128" s="1">
        <v>0</v>
      </c>
      <c r="F128" s="1">
        <v>0</v>
      </c>
    </row>
    <row r="129" spans="1:6" ht="18" customHeight="1">
      <c r="A129" s="5" t="s">
        <v>74</v>
      </c>
      <c r="B129" s="1">
        <v>3147</v>
      </c>
      <c r="C129" s="1">
        <v>0</v>
      </c>
      <c r="D129" s="1">
        <v>0</v>
      </c>
      <c r="E129" s="1">
        <v>0</v>
      </c>
      <c r="F129" s="1">
        <v>0</v>
      </c>
    </row>
    <row r="130" spans="1:6" ht="18" customHeight="1">
      <c r="A130" s="5" t="s">
        <v>76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</row>
    <row r="131" spans="1:6" ht="18" customHeight="1">
      <c r="A131" s="5" t="s">
        <v>78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</row>
    <row r="132" spans="1:6" ht="18" customHeight="1">
      <c r="A132" s="5" t="s">
        <v>79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</row>
    <row r="133" spans="1:6" ht="18" customHeight="1">
      <c r="A133" s="3" t="s">
        <v>87</v>
      </c>
      <c r="B133" s="3">
        <v>522403</v>
      </c>
      <c r="C133" s="3">
        <f>C123+C127+SUM(C128:C132)</f>
        <v>581093</v>
      </c>
      <c r="D133" s="3">
        <f>D123+D127+SUM(D128:D132)</f>
        <v>576960</v>
      </c>
      <c r="E133" s="3">
        <f>E123+E127+SUM(E128:E132)</f>
        <v>644207</v>
      </c>
      <c r="F133" s="3">
        <f>F123+F127+SUM(F128:F132)</f>
        <v>615486</v>
      </c>
    </row>
    <row r="134" ht="18" customHeight="1">
      <c r="A134" s="3"/>
    </row>
    <row r="135" ht="18" customHeight="1">
      <c r="A135" s="3" t="s">
        <v>88</v>
      </c>
    </row>
    <row r="136" spans="1:6" ht="18" customHeight="1">
      <c r="A136" s="5" t="s">
        <v>89</v>
      </c>
      <c r="B136" s="1">
        <v>419012</v>
      </c>
      <c r="C136" s="1">
        <f>139860+315718</f>
        <v>455578</v>
      </c>
      <c r="D136" s="1">
        <f>142356+328160</f>
        <v>470516</v>
      </c>
      <c r="E136" s="1">
        <f>144903+338354+100000</f>
        <v>583257</v>
      </c>
      <c r="F136" s="1">
        <f>147562+417435</f>
        <v>564997</v>
      </c>
    </row>
    <row r="137" spans="1:6" ht="18" customHeight="1">
      <c r="A137" s="5" t="s">
        <v>90</v>
      </c>
      <c r="B137" s="1">
        <v>189350</v>
      </c>
      <c r="C137" s="1">
        <v>160695</v>
      </c>
      <c r="D137" s="1">
        <v>176457</v>
      </c>
      <c r="E137" s="1">
        <v>180816</v>
      </c>
      <c r="F137" s="1">
        <v>201337</v>
      </c>
    </row>
    <row r="138" spans="1:6" ht="18" customHeight="1">
      <c r="A138" s="3" t="s">
        <v>68</v>
      </c>
      <c r="B138" s="3">
        <v>608362</v>
      </c>
      <c r="C138" s="3">
        <f>C137+C136</f>
        <v>616273</v>
      </c>
      <c r="D138" s="3">
        <f>D137+D136</f>
        <v>646973</v>
      </c>
      <c r="E138" s="3">
        <f>E137+E136</f>
        <v>764073</v>
      </c>
      <c r="F138" s="3">
        <f>F137+F136</f>
        <v>766334</v>
      </c>
    </row>
    <row r="139" spans="1:6" ht="18" customHeight="1">
      <c r="A139" s="5" t="s">
        <v>69</v>
      </c>
      <c r="B139" s="1">
        <v>123254</v>
      </c>
      <c r="C139" s="1">
        <v>135351</v>
      </c>
      <c r="D139" s="1">
        <v>151671</v>
      </c>
      <c r="E139" s="1">
        <v>157319</v>
      </c>
      <c r="F139" s="1">
        <v>179846</v>
      </c>
    </row>
    <row r="140" spans="1:6" ht="18" customHeight="1">
      <c r="A140" s="5" t="s">
        <v>70</v>
      </c>
      <c r="B140" s="1">
        <v>46540</v>
      </c>
      <c r="C140" s="1">
        <v>47151</v>
      </c>
      <c r="D140" s="1">
        <v>49092</v>
      </c>
      <c r="E140" s="1">
        <v>50802</v>
      </c>
      <c r="F140" s="1">
        <v>58624</v>
      </c>
    </row>
    <row r="141" spans="1:6" ht="18" customHeight="1">
      <c r="A141" s="5" t="s">
        <v>71</v>
      </c>
      <c r="B141" s="1">
        <v>167338</v>
      </c>
      <c r="C141" s="1">
        <v>168282</v>
      </c>
      <c r="D141" s="1">
        <v>177543</v>
      </c>
      <c r="E141" s="1">
        <v>185001</v>
      </c>
      <c r="F141" s="1">
        <v>195722</v>
      </c>
    </row>
    <row r="142" spans="1:6" ht="18" customHeight="1">
      <c r="A142" s="3" t="s">
        <v>72</v>
      </c>
      <c r="B142" s="3">
        <v>337132</v>
      </c>
      <c r="C142" s="3">
        <f>SUM(C139:C141)</f>
        <v>350784</v>
      </c>
      <c r="D142" s="3">
        <f>SUM(D139:D141)</f>
        <v>378306</v>
      </c>
      <c r="E142" s="3">
        <f>SUM(E139:E141)</f>
        <v>393122</v>
      </c>
      <c r="F142" s="3">
        <f>SUM(F139:F141)</f>
        <v>434192</v>
      </c>
    </row>
    <row r="143" spans="1:6" ht="18" customHeight="1">
      <c r="A143" s="5" t="s">
        <v>73</v>
      </c>
      <c r="B143" s="1">
        <v>51275</v>
      </c>
      <c r="C143" s="1">
        <v>46987</v>
      </c>
      <c r="D143" s="1">
        <v>76297</v>
      </c>
      <c r="E143" s="1">
        <v>52500</v>
      </c>
      <c r="F143" s="1">
        <v>22500</v>
      </c>
    </row>
    <row r="144" spans="1:6" ht="18" customHeight="1">
      <c r="A144" s="5" t="s">
        <v>74</v>
      </c>
      <c r="B144" s="1">
        <v>40400</v>
      </c>
      <c r="C144" s="1">
        <v>42108</v>
      </c>
      <c r="D144" s="1">
        <v>55096</v>
      </c>
      <c r="E144" s="1">
        <f>7500+10000+22500+6500+43250+2000</f>
        <v>91750</v>
      </c>
      <c r="F144" s="1">
        <v>104150</v>
      </c>
    </row>
    <row r="145" spans="1:6" ht="18" customHeight="1">
      <c r="A145" s="5" t="s">
        <v>76</v>
      </c>
      <c r="B145" s="1">
        <v>13666</v>
      </c>
      <c r="C145" s="1">
        <v>13560</v>
      </c>
      <c r="D145" s="1">
        <v>11991</v>
      </c>
      <c r="E145" s="1">
        <v>12500</v>
      </c>
      <c r="F145" s="1">
        <v>12500</v>
      </c>
    </row>
    <row r="146" spans="1:6" ht="18" customHeight="1">
      <c r="A146" s="5" t="s">
        <v>78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</row>
    <row r="147" spans="1:6" ht="18" customHeight="1">
      <c r="A147" s="5" t="s">
        <v>79</v>
      </c>
      <c r="B147" s="1">
        <v>16226</v>
      </c>
      <c r="C147" s="1">
        <v>17844</v>
      </c>
      <c r="D147" s="1">
        <v>16946</v>
      </c>
      <c r="E147" s="1">
        <f>8250+10000</f>
        <v>18250</v>
      </c>
      <c r="F147" s="1">
        <v>18750</v>
      </c>
    </row>
    <row r="148" spans="1:6" ht="18" customHeight="1">
      <c r="A148" s="3" t="s">
        <v>91</v>
      </c>
      <c r="B148" s="3">
        <v>1067061</v>
      </c>
      <c r="C148" s="3">
        <f>C138+C142+SUM(C143:C147)</f>
        <v>1087556</v>
      </c>
      <c r="D148" s="3">
        <f>D138+D142+SUM(D143:D147)</f>
        <v>1185609</v>
      </c>
      <c r="E148" s="3">
        <f>E138+E142+SUM(E143:E147)</f>
        <v>1332195</v>
      </c>
      <c r="F148" s="3">
        <f>F138+F142+SUM(F143:F147)</f>
        <v>1358426</v>
      </c>
    </row>
    <row r="149" ht="18" customHeight="1">
      <c r="A149" s="3"/>
    </row>
    <row r="150" ht="18" customHeight="1">
      <c r="A150" s="3" t="s">
        <v>92</v>
      </c>
    </row>
    <row r="151" spans="1:6" ht="18" customHeight="1">
      <c r="A151" s="5" t="s">
        <v>89</v>
      </c>
      <c r="B151" s="1">
        <v>1032758</v>
      </c>
      <c r="C151" s="1">
        <v>1053445</v>
      </c>
      <c r="D151" s="1">
        <v>1086417</v>
      </c>
      <c r="E151" s="1">
        <f>87961+92358+90938+96969+172485+175130+427427</f>
        <v>1143268</v>
      </c>
      <c r="F151" s="1">
        <v>1219367</v>
      </c>
    </row>
    <row r="152" spans="1:6" ht="18" customHeight="1">
      <c r="A152" s="5" t="s">
        <v>90</v>
      </c>
      <c r="B152" s="1">
        <v>445506</v>
      </c>
      <c r="C152" s="1">
        <v>432706</v>
      </c>
      <c r="D152" s="1">
        <v>515656</v>
      </c>
      <c r="E152" s="1">
        <v>579726</v>
      </c>
      <c r="F152" s="1">
        <v>594131</v>
      </c>
    </row>
    <row r="153" spans="1:6" ht="18" customHeight="1">
      <c r="A153" s="3" t="s">
        <v>68</v>
      </c>
      <c r="B153" s="3">
        <v>1478264</v>
      </c>
      <c r="C153" s="3">
        <f>C152+C151</f>
        <v>1486151</v>
      </c>
      <c r="D153" s="3">
        <f>D152+D151</f>
        <v>1602073</v>
      </c>
      <c r="E153" s="3">
        <f>E152+E151</f>
        <v>1722994</v>
      </c>
      <c r="F153" s="3">
        <f>F152+F151</f>
        <v>1813498</v>
      </c>
    </row>
    <row r="154" spans="1:6" ht="18" customHeight="1">
      <c r="A154" s="5" t="s">
        <v>69</v>
      </c>
      <c r="B154" s="1">
        <v>299496</v>
      </c>
      <c r="C154" s="1">
        <v>324885</v>
      </c>
      <c r="D154" s="1">
        <v>375505</v>
      </c>
      <c r="E154" s="1">
        <v>396332</v>
      </c>
      <c r="F154" s="1">
        <v>429618</v>
      </c>
    </row>
    <row r="155" spans="1:6" ht="18" customHeight="1">
      <c r="A155" s="5" t="s">
        <v>70</v>
      </c>
      <c r="B155" s="1">
        <v>113087</v>
      </c>
      <c r="C155" s="1">
        <v>113177</v>
      </c>
      <c r="D155" s="1">
        <v>121259</v>
      </c>
      <c r="E155" s="1">
        <v>127984</v>
      </c>
      <c r="F155" s="1">
        <v>138733</v>
      </c>
    </row>
    <row r="156" spans="1:6" ht="18" customHeight="1">
      <c r="A156" s="5" t="s">
        <v>71</v>
      </c>
      <c r="B156" s="1">
        <v>406617</v>
      </c>
      <c r="C156" s="1">
        <v>399972</v>
      </c>
      <c r="D156" s="1">
        <v>493002</v>
      </c>
      <c r="E156" s="1">
        <v>513708</v>
      </c>
      <c r="F156" s="1">
        <v>579224</v>
      </c>
    </row>
    <row r="157" spans="1:6" ht="18" customHeight="1">
      <c r="A157" s="3" t="s">
        <v>72</v>
      </c>
      <c r="B157" s="3">
        <v>819200</v>
      </c>
      <c r="C157" s="3">
        <f>SUM(C154:C156)</f>
        <v>838034</v>
      </c>
      <c r="D157" s="3">
        <f>SUM(D154:D156)</f>
        <v>989766</v>
      </c>
      <c r="E157" s="3">
        <f>SUM(E154:E156)</f>
        <v>1038024</v>
      </c>
      <c r="F157" s="3">
        <f>SUM(F154:F156)</f>
        <v>1147575</v>
      </c>
    </row>
    <row r="158" spans="1:6" ht="18" customHeight="1">
      <c r="A158" s="5" t="s">
        <v>73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</row>
    <row r="159" spans="1:6" ht="18" customHeight="1">
      <c r="A159" s="5" t="s">
        <v>74</v>
      </c>
      <c r="B159" s="1">
        <v>40574</v>
      </c>
      <c r="C159" s="1">
        <v>39311</v>
      </c>
      <c r="D159" s="1">
        <v>34128</v>
      </c>
      <c r="E159" s="1">
        <v>42500</v>
      </c>
      <c r="F159" s="1">
        <v>42500</v>
      </c>
    </row>
    <row r="160" spans="1:6" ht="18" customHeight="1">
      <c r="A160" s="5" t="s">
        <v>76</v>
      </c>
      <c r="B160" s="1">
        <v>0</v>
      </c>
      <c r="C160" s="1">
        <v>32222</v>
      </c>
      <c r="D160" s="1">
        <v>0</v>
      </c>
      <c r="E160" s="1">
        <v>0</v>
      </c>
      <c r="F160" s="1">
        <v>0</v>
      </c>
    </row>
    <row r="161" spans="1:6" ht="18" customHeight="1">
      <c r="A161" s="5" t="s">
        <v>78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</row>
    <row r="162" spans="1:6" ht="18" customHeight="1">
      <c r="A162" s="5" t="s">
        <v>79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</row>
    <row r="163" spans="1:6" ht="18" customHeight="1">
      <c r="A163" s="3" t="s">
        <v>93</v>
      </c>
      <c r="B163" s="3">
        <v>2338038</v>
      </c>
      <c r="C163" s="3">
        <f>C153+C157+SUM(C158:C162)</f>
        <v>2395718</v>
      </c>
      <c r="D163" s="3">
        <f>D153+D157+SUM(D158:D162)</f>
        <v>2625967</v>
      </c>
      <c r="E163" s="3">
        <f>E153+E157+SUM(E158:E162)</f>
        <v>2803518</v>
      </c>
      <c r="F163" s="3">
        <f>F153+F157+SUM(F158:F162)</f>
        <v>3003573</v>
      </c>
    </row>
    <row r="164" ht="18" customHeight="1">
      <c r="A164" s="3"/>
    </row>
    <row r="165" ht="18" customHeight="1">
      <c r="A165" s="3" t="s">
        <v>94</v>
      </c>
    </row>
    <row r="166" spans="1:6" ht="18" customHeight="1">
      <c r="A166" s="5" t="s">
        <v>95</v>
      </c>
      <c r="B166" s="1">
        <v>590232</v>
      </c>
      <c r="C166" s="1">
        <v>646647</v>
      </c>
      <c r="D166" s="1">
        <v>750396</v>
      </c>
      <c r="E166" s="1">
        <v>1004012</v>
      </c>
      <c r="F166" s="1">
        <v>946590</v>
      </c>
    </row>
    <row r="167" spans="1:6" ht="18" customHeight="1">
      <c r="A167" s="3" t="s">
        <v>68</v>
      </c>
      <c r="B167" s="3">
        <v>590232</v>
      </c>
      <c r="C167" s="3">
        <f>C166</f>
        <v>646647</v>
      </c>
      <c r="D167" s="3">
        <f>D166</f>
        <v>750396</v>
      </c>
      <c r="E167" s="3">
        <f>E166</f>
        <v>1004012</v>
      </c>
      <c r="F167" s="3">
        <f>F166</f>
        <v>946590</v>
      </c>
    </row>
    <row r="168" spans="1:6" ht="18" customHeight="1">
      <c r="A168" s="5" t="s">
        <v>69</v>
      </c>
      <c r="B168" s="1">
        <v>119581</v>
      </c>
      <c r="C168" s="1">
        <v>141737</v>
      </c>
      <c r="D168" s="1">
        <v>182637</v>
      </c>
      <c r="E168" s="1">
        <f>218809+178826-157319</f>
        <v>240316</v>
      </c>
      <c r="F168" s="1">
        <v>225945</v>
      </c>
    </row>
    <row r="169" spans="1:6" ht="18" customHeight="1">
      <c r="A169" s="5" t="s">
        <v>70</v>
      </c>
      <c r="B169" s="1">
        <v>45153</v>
      </c>
      <c r="C169" s="1">
        <v>49376</v>
      </c>
      <c r="D169" s="1">
        <v>58978</v>
      </c>
      <c r="E169" s="1">
        <f>69862+57747-50802</f>
        <v>76807</v>
      </c>
      <c r="F169" s="1">
        <v>72414</v>
      </c>
    </row>
    <row r="170" spans="1:6" ht="18" customHeight="1">
      <c r="A170" s="5" t="s">
        <v>71</v>
      </c>
      <c r="B170" s="1">
        <v>162351</v>
      </c>
      <c r="C170" s="1">
        <v>185402</v>
      </c>
      <c r="D170" s="1">
        <f>144141+234567-177543</f>
        <v>201165</v>
      </c>
      <c r="E170" s="1">
        <f>244419+210195-185001</f>
        <v>269613</v>
      </c>
      <c r="F170" s="1">
        <v>281540</v>
      </c>
    </row>
    <row r="171" spans="1:6" ht="18" customHeight="1">
      <c r="A171" s="3" t="s">
        <v>72</v>
      </c>
      <c r="B171" s="3">
        <v>327085</v>
      </c>
      <c r="C171" s="3">
        <f>SUM(C168:C170)</f>
        <v>376515</v>
      </c>
      <c r="D171" s="3">
        <f>SUM(D168:D170)</f>
        <v>442780</v>
      </c>
      <c r="E171" s="3">
        <f>SUM(E168:E170)</f>
        <v>586736</v>
      </c>
      <c r="F171" s="3">
        <f>SUM(F168:F170)</f>
        <v>579899</v>
      </c>
    </row>
    <row r="172" spans="1:6" ht="18" customHeight="1">
      <c r="A172" s="5" t="s">
        <v>73</v>
      </c>
      <c r="B172" s="1">
        <v>0</v>
      </c>
      <c r="C172" s="1">
        <v>0</v>
      </c>
      <c r="D172" s="1">
        <v>0</v>
      </c>
      <c r="E172" s="1">
        <v>37500</v>
      </c>
      <c r="F172" s="1">
        <v>34000</v>
      </c>
    </row>
    <row r="173" spans="1:6" ht="18" customHeight="1">
      <c r="A173" s="5" t="s">
        <v>74</v>
      </c>
      <c r="B173" s="1">
        <v>39312</v>
      </c>
      <c r="C173" s="1">
        <v>44291</v>
      </c>
      <c r="D173" s="1">
        <v>45261</v>
      </c>
      <c r="E173" s="1">
        <v>1750</v>
      </c>
      <c r="F173" s="1">
        <v>1750</v>
      </c>
    </row>
    <row r="174" spans="1:6" ht="18" customHeight="1">
      <c r="A174" s="5" t="s">
        <v>76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</row>
    <row r="175" spans="1:6" ht="18" customHeight="1">
      <c r="A175" s="5" t="s">
        <v>78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</row>
    <row r="176" spans="1:6" ht="18" customHeight="1">
      <c r="A176" s="5" t="s">
        <v>79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</row>
    <row r="177" spans="1:6" ht="18" customHeight="1">
      <c r="A177" s="3" t="s">
        <v>96</v>
      </c>
      <c r="B177" s="3">
        <v>956629</v>
      </c>
      <c r="C177" s="3">
        <f>C167+C171+SUM(C172:C176)</f>
        <v>1067453</v>
      </c>
      <c r="D177" s="3">
        <f>D167+D171+SUM(D172:D176)</f>
        <v>1238437</v>
      </c>
      <c r="E177" s="3">
        <f>E167+E171+SUM(E172:E176)</f>
        <v>1629998</v>
      </c>
      <c r="F177" s="3">
        <f>F167+F171+SUM(F172:F176)</f>
        <v>1562239</v>
      </c>
    </row>
    <row r="178" ht="18" customHeight="1">
      <c r="A178" s="3"/>
    </row>
    <row r="179" ht="18" customHeight="1">
      <c r="A179" s="3" t="s">
        <v>97</v>
      </c>
    </row>
    <row r="180" spans="1:6" ht="18" customHeight="1">
      <c r="A180" s="5" t="s">
        <v>98</v>
      </c>
      <c r="B180" s="1">
        <v>1248434</v>
      </c>
      <c r="C180" s="1">
        <v>1283435</v>
      </c>
      <c r="D180" s="1">
        <v>1355542</v>
      </c>
      <c r="E180" s="1">
        <v>1408188</v>
      </c>
      <c r="F180" s="1">
        <v>1475676</v>
      </c>
    </row>
    <row r="181" spans="1:6" ht="18" customHeight="1">
      <c r="A181" s="3" t="s">
        <v>68</v>
      </c>
      <c r="B181" s="3">
        <v>1248434</v>
      </c>
      <c r="C181" s="3">
        <f>C180</f>
        <v>1283435</v>
      </c>
      <c r="D181" s="3">
        <f>D180</f>
        <v>1355542</v>
      </c>
      <c r="E181" s="3">
        <f>E180</f>
        <v>1408188</v>
      </c>
      <c r="F181" s="3">
        <f>F180</f>
        <v>1475676</v>
      </c>
    </row>
    <row r="182" spans="1:6" ht="18" customHeight="1">
      <c r="A182" s="5" t="s">
        <v>69</v>
      </c>
      <c r="B182" s="1">
        <v>252933</v>
      </c>
      <c r="C182" s="1">
        <v>286908</v>
      </c>
      <c r="D182" s="1">
        <v>327500</v>
      </c>
      <c r="E182" s="1">
        <v>333600</v>
      </c>
      <c r="F182" s="1">
        <v>353925</v>
      </c>
    </row>
    <row r="183" spans="1:6" ht="18" customHeight="1">
      <c r="A183" s="5" t="s">
        <v>70</v>
      </c>
      <c r="B183" s="1">
        <v>96434</v>
      </c>
      <c r="C183" s="1">
        <v>99948</v>
      </c>
      <c r="D183" s="1">
        <v>105757</v>
      </c>
      <c r="E183" s="1">
        <v>107726</v>
      </c>
      <c r="F183" s="1">
        <v>114290</v>
      </c>
    </row>
    <row r="184" spans="1:6" ht="18" customHeight="1">
      <c r="A184" s="5" t="s">
        <v>71</v>
      </c>
      <c r="B184" s="1">
        <v>370433</v>
      </c>
      <c r="C184" s="1">
        <v>426612</v>
      </c>
      <c r="D184" s="1">
        <v>442866</v>
      </c>
      <c r="E184" s="1">
        <v>461466</v>
      </c>
      <c r="F184" s="1">
        <v>502665</v>
      </c>
    </row>
    <row r="185" spans="1:6" ht="18" customHeight="1">
      <c r="A185" s="3" t="s">
        <v>72</v>
      </c>
      <c r="B185" s="3">
        <v>719800</v>
      </c>
      <c r="C185" s="3">
        <f>SUM(C182:C184)</f>
        <v>813468</v>
      </c>
      <c r="D185" s="3">
        <f>SUM(D182:D184)</f>
        <v>876123</v>
      </c>
      <c r="E185" s="3">
        <f>SUM(E182:E184)</f>
        <v>902792</v>
      </c>
      <c r="F185" s="3">
        <f>SUM(F182:F184)</f>
        <v>970880</v>
      </c>
    </row>
    <row r="186" spans="1:6" ht="18" customHeight="1">
      <c r="A186" s="5" t="s">
        <v>73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</row>
    <row r="187" spans="1:6" ht="18" customHeight="1">
      <c r="A187" s="5" t="s">
        <v>99</v>
      </c>
      <c r="B187" s="1">
        <v>104210</v>
      </c>
      <c r="C187" s="1">
        <v>103929</v>
      </c>
      <c r="D187" s="1">
        <v>101623</v>
      </c>
      <c r="E187" s="1">
        <v>97326</v>
      </c>
      <c r="F187" s="1">
        <v>100530</v>
      </c>
    </row>
    <row r="188" spans="1:6" ht="18" customHeight="1">
      <c r="A188" s="5" t="s">
        <v>74</v>
      </c>
      <c r="B188" s="1">
        <v>42414</v>
      </c>
      <c r="C188" s="1">
        <v>55275</v>
      </c>
      <c r="D188" s="1">
        <v>24682</v>
      </c>
      <c r="E188" s="1">
        <v>32264</v>
      </c>
      <c r="F188" s="1">
        <v>33896</v>
      </c>
    </row>
    <row r="189" spans="1:6" ht="18" customHeight="1">
      <c r="A189" s="5" t="s">
        <v>76</v>
      </c>
      <c r="B189" s="1">
        <v>963066</v>
      </c>
      <c r="C189" s="1">
        <v>1007201</v>
      </c>
      <c r="D189" s="1">
        <v>996651</v>
      </c>
      <c r="E189" s="1">
        <v>1107369</v>
      </c>
      <c r="F189" s="1">
        <v>1013649</v>
      </c>
    </row>
    <row r="190" spans="1:6" ht="18" customHeight="1">
      <c r="A190" s="5" t="s">
        <v>78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</row>
    <row r="191" spans="1:6" ht="18" customHeight="1">
      <c r="A191" s="5" t="s">
        <v>79</v>
      </c>
      <c r="B191" s="1">
        <v>2532</v>
      </c>
      <c r="C191" s="1">
        <v>3893</v>
      </c>
      <c r="D191" s="1">
        <v>4827</v>
      </c>
      <c r="E191" s="1">
        <v>4923</v>
      </c>
      <c r="F191" s="1">
        <v>3750</v>
      </c>
    </row>
    <row r="192" spans="1:6" ht="18" customHeight="1">
      <c r="A192" s="3" t="s">
        <v>100</v>
      </c>
      <c r="B192" s="3">
        <v>3080456</v>
      </c>
      <c r="C192" s="3">
        <f>C181+C185+SUM(C186:C191)</f>
        <v>3267201</v>
      </c>
      <c r="D192" s="3">
        <f>D181+D185+SUM(D186:D191)</f>
        <v>3359448</v>
      </c>
      <c r="E192" s="3">
        <f>E181+E185+SUM(E186:E191)</f>
        <v>3552862</v>
      </c>
      <c r="F192" s="3">
        <f>F181+F185+SUM(F186:F191)</f>
        <v>3598381</v>
      </c>
    </row>
    <row r="193" ht="18" customHeight="1">
      <c r="A193" s="3"/>
    </row>
    <row r="194" ht="18" customHeight="1">
      <c r="A194" s="3" t="s">
        <v>101</v>
      </c>
    </row>
    <row r="195" spans="1:6" ht="18" customHeight="1">
      <c r="A195" s="5" t="s">
        <v>102</v>
      </c>
      <c r="B195" s="1">
        <v>89664</v>
      </c>
      <c r="C195" s="1">
        <v>96668</v>
      </c>
      <c r="D195" s="1">
        <v>103167</v>
      </c>
      <c r="E195" s="1">
        <v>108303</v>
      </c>
      <c r="F195" s="1">
        <v>110773</v>
      </c>
    </row>
    <row r="196" spans="1:6" ht="18" customHeight="1">
      <c r="A196" s="5" t="s">
        <v>103</v>
      </c>
      <c r="B196" s="1">
        <v>423987</v>
      </c>
      <c r="C196" s="1">
        <v>475895</v>
      </c>
      <c r="D196" s="1">
        <v>492836</v>
      </c>
      <c r="E196" s="1">
        <v>531949</v>
      </c>
      <c r="F196" s="1">
        <v>524770</v>
      </c>
    </row>
    <row r="197" spans="1:6" ht="18" customHeight="1">
      <c r="A197" s="5" t="s">
        <v>104</v>
      </c>
      <c r="B197" s="1">
        <v>91874</v>
      </c>
      <c r="C197" s="1">
        <v>97585</v>
      </c>
      <c r="D197" s="1">
        <v>95915</v>
      </c>
      <c r="E197" s="1">
        <v>100182</v>
      </c>
      <c r="F197" s="1">
        <v>148238</v>
      </c>
    </row>
    <row r="198" spans="1:6" ht="18" customHeight="1">
      <c r="A198" s="5" t="s">
        <v>105</v>
      </c>
      <c r="B198" s="1">
        <v>146431</v>
      </c>
      <c r="C198" s="1">
        <v>106873</v>
      </c>
      <c r="D198" s="1">
        <v>96290</v>
      </c>
      <c r="E198" s="1">
        <v>106476</v>
      </c>
      <c r="F198" s="1">
        <v>102989</v>
      </c>
    </row>
    <row r="199" spans="1:6" ht="18" customHeight="1">
      <c r="A199" s="3" t="s">
        <v>68</v>
      </c>
      <c r="B199" s="3">
        <v>751956</v>
      </c>
      <c r="C199" s="3">
        <f>SUM(C195:C198)</f>
        <v>777021</v>
      </c>
      <c r="D199" s="3">
        <f>SUM(D195:D198)</f>
        <v>788208</v>
      </c>
      <c r="E199" s="3">
        <f>SUM(E195:E198)</f>
        <v>846910</v>
      </c>
      <c r="F199" s="3">
        <f>SUM(F195:F198)</f>
        <v>886770</v>
      </c>
    </row>
    <row r="200" spans="1:6" ht="18" customHeight="1">
      <c r="A200" s="5" t="s">
        <v>69</v>
      </c>
      <c r="B200" s="1">
        <v>152346</v>
      </c>
      <c r="C200" s="1">
        <v>171660</v>
      </c>
      <c r="D200" s="1">
        <v>191420</v>
      </c>
      <c r="E200" s="1">
        <v>200633</v>
      </c>
      <c r="F200" s="1">
        <v>210076</v>
      </c>
    </row>
    <row r="201" spans="1:6" ht="18" customHeight="1">
      <c r="A201" s="5" t="s">
        <v>70</v>
      </c>
      <c r="B201" s="1">
        <v>56596</v>
      </c>
      <c r="C201" s="1">
        <v>59800</v>
      </c>
      <c r="D201" s="1">
        <v>61814</v>
      </c>
      <c r="E201" s="1">
        <v>64789</v>
      </c>
      <c r="F201" s="1">
        <v>67838</v>
      </c>
    </row>
    <row r="202" spans="1:6" ht="18" customHeight="1">
      <c r="A202" s="5" t="s">
        <v>71</v>
      </c>
      <c r="B202" s="1">
        <v>179801</v>
      </c>
      <c r="C202" s="1">
        <v>216883</v>
      </c>
      <c r="D202" s="1">
        <v>227139</v>
      </c>
      <c r="E202" s="1">
        <v>236679</v>
      </c>
      <c r="F202" s="1">
        <v>252719</v>
      </c>
    </row>
    <row r="203" spans="1:6" ht="18" customHeight="1">
      <c r="A203" s="3" t="s">
        <v>72</v>
      </c>
      <c r="B203" s="3">
        <v>388743</v>
      </c>
      <c r="C203" s="3">
        <f>SUM(C200:C202)</f>
        <v>448343</v>
      </c>
      <c r="D203" s="3">
        <f>SUM(D200:D202)</f>
        <v>480373</v>
      </c>
      <c r="E203" s="3">
        <f>SUM(E200:E202)</f>
        <v>502101</v>
      </c>
      <c r="F203" s="3">
        <f>SUM(F200:F202)</f>
        <v>530633</v>
      </c>
    </row>
    <row r="204" spans="1:6" ht="18" customHeight="1">
      <c r="A204" s="5" t="s">
        <v>106</v>
      </c>
      <c r="B204" s="1">
        <v>2784</v>
      </c>
      <c r="C204" s="1">
        <v>1736</v>
      </c>
      <c r="D204" s="1">
        <v>5425</v>
      </c>
      <c r="E204" s="1">
        <v>4000</v>
      </c>
      <c r="F204" s="1">
        <v>4000</v>
      </c>
    </row>
    <row r="205" spans="1:6" ht="18" customHeight="1">
      <c r="A205" s="5" t="s">
        <v>107</v>
      </c>
      <c r="B205" s="1">
        <v>5750</v>
      </c>
      <c r="C205" s="1">
        <v>5650</v>
      </c>
      <c r="D205" s="1">
        <v>10550</v>
      </c>
      <c r="E205" s="1">
        <v>10750</v>
      </c>
      <c r="F205" s="1">
        <v>11250</v>
      </c>
    </row>
    <row r="206" spans="1:6" ht="18" customHeight="1">
      <c r="A206" s="5" t="s">
        <v>108</v>
      </c>
      <c r="B206" s="1">
        <v>205513</v>
      </c>
      <c r="C206" s="1">
        <v>228420</v>
      </c>
      <c r="D206" s="1">
        <v>194802</v>
      </c>
      <c r="E206" s="1">
        <v>208750</v>
      </c>
      <c r="F206" s="1">
        <v>175000</v>
      </c>
    </row>
    <row r="207" spans="1:6" ht="18" customHeight="1">
      <c r="A207" s="5" t="s">
        <v>109</v>
      </c>
      <c r="B207" s="1">
        <v>17540</v>
      </c>
      <c r="C207" s="1">
        <v>36075</v>
      </c>
      <c r="D207" s="1">
        <v>18727</v>
      </c>
      <c r="E207" s="1">
        <v>34500</v>
      </c>
      <c r="F207" s="1">
        <v>22500</v>
      </c>
    </row>
    <row r="208" spans="1:6" ht="18" customHeight="1">
      <c r="A208" s="5" t="s">
        <v>110</v>
      </c>
      <c r="B208" s="1">
        <v>137337</v>
      </c>
      <c r="C208" s="1">
        <f>30051+11019+12491+157756+473</f>
        <v>211790</v>
      </c>
      <c r="D208" s="1">
        <f>10651+10517+19429+171654+1040</f>
        <v>213291</v>
      </c>
      <c r="E208" s="1">
        <f>22500+10250+20250+147500+1500</f>
        <v>202000</v>
      </c>
      <c r="F208" s="1">
        <f>10250+20250+172750+1000</f>
        <v>204250</v>
      </c>
    </row>
    <row r="209" spans="1:6" ht="18" customHeight="1">
      <c r="A209" s="5" t="s">
        <v>78</v>
      </c>
      <c r="B209" s="1">
        <v>20073</v>
      </c>
      <c r="C209" s="1">
        <v>16118</v>
      </c>
      <c r="D209" s="1">
        <v>24776</v>
      </c>
      <c r="E209" s="1">
        <v>0</v>
      </c>
      <c r="F209" s="1">
        <v>0</v>
      </c>
    </row>
    <row r="210" spans="1:6" ht="18" customHeight="1">
      <c r="A210" s="5" t="s">
        <v>111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</row>
    <row r="211" spans="1:6" ht="18" customHeight="1">
      <c r="A211" s="5" t="s">
        <v>79</v>
      </c>
      <c r="B211" s="1">
        <v>9566</v>
      </c>
      <c r="C211" s="1">
        <v>11575</v>
      </c>
      <c r="D211" s="1">
        <v>13696</v>
      </c>
      <c r="E211" s="1">
        <v>10250</v>
      </c>
      <c r="F211" s="1">
        <v>12500</v>
      </c>
    </row>
    <row r="212" spans="1:6" ht="18" customHeight="1">
      <c r="A212" s="3" t="s">
        <v>112</v>
      </c>
      <c r="B212" s="3">
        <v>1539262</v>
      </c>
      <c r="C212" s="3">
        <f>C199+C203+SUM(C204:C211)</f>
        <v>1736728</v>
      </c>
      <c r="D212" s="3">
        <f>D199+D203+SUM(D204:D211)</f>
        <v>1749848</v>
      </c>
      <c r="E212" s="3">
        <f>E199+E203+SUM(E204:E211)</f>
        <v>1819261</v>
      </c>
      <c r="F212" s="3">
        <f>F199+F203+SUM(F204:F211)</f>
        <v>1846903</v>
      </c>
    </row>
    <row r="213" ht="18" customHeight="1">
      <c r="A213" s="3"/>
    </row>
    <row r="214" ht="18" customHeight="1">
      <c r="A214" s="3" t="s">
        <v>201</v>
      </c>
    </row>
    <row r="215" spans="1:6" ht="18" customHeight="1">
      <c r="A215" s="1" t="s">
        <v>67</v>
      </c>
      <c r="B215" s="1">
        <v>0</v>
      </c>
      <c r="C215" s="1">
        <v>141545</v>
      </c>
      <c r="D215" s="1">
        <v>140306</v>
      </c>
      <c r="E215" s="1">
        <v>153813</v>
      </c>
      <c r="F215" s="1">
        <v>150550</v>
      </c>
    </row>
    <row r="216" spans="1:6" ht="18" customHeight="1">
      <c r="A216" s="3" t="s">
        <v>68</v>
      </c>
      <c r="B216" s="3">
        <v>0</v>
      </c>
      <c r="C216" s="3">
        <f>C215</f>
        <v>141545</v>
      </c>
      <c r="D216" s="3">
        <f>D215</f>
        <v>140306</v>
      </c>
      <c r="E216" s="3">
        <f>E215</f>
        <v>153813</v>
      </c>
      <c r="F216" s="3">
        <f>F215</f>
        <v>150550</v>
      </c>
    </row>
    <row r="217" spans="1:6" ht="18" customHeight="1">
      <c r="A217" s="5" t="s">
        <v>69</v>
      </c>
      <c r="B217" s="1">
        <v>0</v>
      </c>
      <c r="C217" s="1">
        <v>19997</v>
      </c>
      <c r="D217" s="1">
        <v>22004</v>
      </c>
      <c r="E217" s="1">
        <v>22884</v>
      </c>
      <c r="F217" s="1">
        <v>23342</v>
      </c>
    </row>
    <row r="218" spans="1:6" ht="18" customHeight="1">
      <c r="A218" s="5" t="s">
        <v>70</v>
      </c>
      <c r="B218" s="1">
        <v>0</v>
      </c>
      <c r="C218" s="1">
        <v>10932</v>
      </c>
      <c r="D218" s="1">
        <v>10871</v>
      </c>
      <c r="E218" s="1">
        <v>11306</v>
      </c>
      <c r="F218" s="1">
        <v>11517</v>
      </c>
    </row>
    <row r="219" spans="1:6" ht="18" customHeight="1">
      <c r="A219" s="5" t="s">
        <v>71</v>
      </c>
      <c r="B219" s="1">
        <v>0</v>
      </c>
      <c r="C219" s="1">
        <v>36120</v>
      </c>
      <c r="D219" s="1">
        <v>38016</v>
      </c>
      <c r="E219" s="1">
        <v>39537</v>
      </c>
      <c r="F219" s="1">
        <v>28606</v>
      </c>
    </row>
    <row r="220" spans="1:6" ht="18" customHeight="1">
      <c r="A220" s="3" t="s">
        <v>72</v>
      </c>
      <c r="B220" s="3">
        <v>0</v>
      </c>
      <c r="C220" s="3">
        <f>SUM(C217:C219)</f>
        <v>67049</v>
      </c>
      <c r="D220" s="3">
        <f>SUM(D217:D219)</f>
        <v>70891</v>
      </c>
      <c r="E220" s="3">
        <f>SUM(E217:E219)</f>
        <v>73727</v>
      </c>
      <c r="F220" s="3">
        <f>SUM(F217:F219)</f>
        <v>63465</v>
      </c>
    </row>
    <row r="221" spans="1:6" ht="18" customHeight="1">
      <c r="A221" s="5" t="s">
        <v>73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</row>
    <row r="222" spans="1:6" ht="18" customHeight="1">
      <c r="A222" s="1" t="s">
        <v>99</v>
      </c>
      <c r="B222" s="1">
        <v>0</v>
      </c>
      <c r="C222" s="1">
        <v>0</v>
      </c>
      <c r="D222" s="1">
        <v>0</v>
      </c>
      <c r="E222" s="1">
        <v>2492</v>
      </c>
      <c r="F222" s="1">
        <v>2578</v>
      </c>
    </row>
    <row r="223" spans="1:6" ht="18" customHeight="1">
      <c r="A223" s="5" t="s">
        <v>74</v>
      </c>
      <c r="B223" s="1">
        <v>0</v>
      </c>
      <c r="C223" s="1">
        <v>1547</v>
      </c>
      <c r="D223" s="1">
        <v>2492</v>
      </c>
      <c r="E223" s="1">
        <v>2500</v>
      </c>
      <c r="F223" s="1">
        <v>2472</v>
      </c>
    </row>
    <row r="224" spans="1:6" ht="18" customHeight="1">
      <c r="A224" s="5" t="s">
        <v>76</v>
      </c>
      <c r="B224" s="1">
        <v>0</v>
      </c>
      <c r="C224" s="1">
        <v>115719</v>
      </c>
      <c r="D224" s="1">
        <v>21231</v>
      </c>
      <c r="E224" s="1">
        <v>148165</v>
      </c>
      <c r="F224" s="1">
        <v>141765</v>
      </c>
    </row>
    <row r="225" spans="1:6" ht="18" customHeight="1">
      <c r="A225" s="5" t="s">
        <v>78</v>
      </c>
      <c r="B225" s="1">
        <v>0</v>
      </c>
      <c r="C225" s="1">
        <v>0</v>
      </c>
      <c r="D225" s="1">
        <v>0</v>
      </c>
      <c r="E225" s="1">
        <v>2500</v>
      </c>
      <c r="F225" s="1">
        <v>0</v>
      </c>
    </row>
    <row r="226" spans="1:6" ht="18" customHeight="1">
      <c r="A226" s="5" t="s">
        <v>79</v>
      </c>
      <c r="B226" s="1">
        <v>0</v>
      </c>
      <c r="C226" s="1">
        <v>0</v>
      </c>
      <c r="D226" s="1">
        <v>0</v>
      </c>
      <c r="E226" s="1">
        <v>0</v>
      </c>
      <c r="F226" s="1">
        <v>0</v>
      </c>
    </row>
    <row r="227" spans="1:6" ht="18" customHeight="1">
      <c r="A227" s="3" t="s">
        <v>113</v>
      </c>
      <c r="B227" s="3">
        <v>0</v>
      </c>
      <c r="C227" s="3">
        <f>C216+C220+SUM(C221:C226)</f>
        <v>325860</v>
      </c>
      <c r="D227" s="3">
        <f>D216+D220+SUM(D221:D226)</f>
        <v>234920</v>
      </c>
      <c r="E227" s="3">
        <f>E216+E220+SUM(E221:E226)</f>
        <v>383197</v>
      </c>
      <c r="F227" s="3">
        <f>F216+F220+SUM(F221:F226)</f>
        <v>360830</v>
      </c>
    </row>
    <row r="228" ht="18" customHeight="1">
      <c r="A228" s="3"/>
    </row>
    <row r="229" ht="18" customHeight="1">
      <c r="A229" s="3" t="s">
        <v>114</v>
      </c>
    </row>
    <row r="230" ht="18" customHeight="1">
      <c r="A230" s="3" t="s">
        <v>115</v>
      </c>
    </row>
    <row r="231" spans="1:6" ht="18" customHeight="1">
      <c r="A231" s="5" t="s">
        <v>116</v>
      </c>
      <c r="B231" s="1">
        <v>17386014</v>
      </c>
      <c r="C231" s="1">
        <f>C22</f>
        <v>18864359</v>
      </c>
      <c r="D231" s="1">
        <f>D22</f>
        <v>18954356</v>
      </c>
      <c r="E231" s="1">
        <f>E22</f>
        <v>21649947</v>
      </c>
      <c r="F231" s="1">
        <f>F22</f>
        <v>22874502</v>
      </c>
    </row>
    <row r="232" spans="1:6" ht="18" customHeight="1">
      <c r="A232" s="5" t="s">
        <v>117</v>
      </c>
      <c r="B232" s="1">
        <v>18167947</v>
      </c>
      <c r="C232" s="1">
        <f>C62</f>
        <v>19917075</v>
      </c>
      <c r="D232" s="1">
        <f>D62</f>
        <v>21701350</v>
      </c>
      <c r="E232" s="1">
        <f>E62</f>
        <v>23420296</v>
      </c>
      <c r="F232" s="1">
        <f>F62</f>
        <v>23711098</v>
      </c>
    </row>
    <row r="233" spans="1:6" ht="18" customHeight="1">
      <c r="A233" s="5" t="s">
        <v>118</v>
      </c>
      <c r="B233" s="1">
        <v>1854117</v>
      </c>
      <c r="C233" s="1">
        <f>C78</f>
        <v>2142027</v>
      </c>
      <c r="D233" s="1">
        <f>D78</f>
        <v>2404795</v>
      </c>
      <c r="E233" s="1">
        <f>E78</f>
        <v>2546734</v>
      </c>
      <c r="F233" s="1">
        <f>F78</f>
        <v>2218472</v>
      </c>
    </row>
    <row r="234" spans="1:6" ht="18" customHeight="1">
      <c r="A234" s="3" t="s">
        <v>61</v>
      </c>
      <c r="B234" s="3">
        <v>37408078</v>
      </c>
      <c r="C234" s="3">
        <f>SUM(C231:C233)</f>
        <v>40923461</v>
      </c>
      <c r="D234" s="3">
        <f>SUM(D231:D233)</f>
        <v>43060501</v>
      </c>
      <c r="E234" s="3">
        <f>SUM(E231:E233)</f>
        <v>47616977</v>
      </c>
      <c r="F234" s="3">
        <f>SUM(F231:F233)</f>
        <v>48804072</v>
      </c>
    </row>
    <row r="235" ht="18" customHeight="1">
      <c r="A235" s="3"/>
    </row>
    <row r="236" ht="18" customHeight="1">
      <c r="A236" s="3" t="s">
        <v>119</v>
      </c>
    </row>
    <row r="237" spans="1:6" ht="18" customHeight="1">
      <c r="A237" s="5" t="s">
        <v>120</v>
      </c>
      <c r="B237" s="1">
        <v>21100997</v>
      </c>
      <c r="C237" s="1">
        <f>C89+C109+C123+C138+C153+C167+C181+C199+C216</f>
        <v>23775768</v>
      </c>
      <c r="D237" s="1">
        <f>D89+D109+D123+D138+D153+D167+D181+D199+D216</f>
        <v>24933351</v>
      </c>
      <c r="E237" s="1">
        <f>E89+E109+E123+E138+E153+E167+E181+E199+E216</f>
        <v>27106170</v>
      </c>
      <c r="F237" s="1">
        <f>F89+F109+F123+F138+F153+F167+F181+F199+F216</f>
        <v>27826037</v>
      </c>
    </row>
    <row r="238" spans="1:6" ht="18" customHeight="1">
      <c r="A238" s="5" t="s">
        <v>121</v>
      </c>
      <c r="B238" s="1">
        <v>11658255</v>
      </c>
      <c r="C238" s="1">
        <f>C94+C113+C127+C142+C157+C171+C185+C203+C220</f>
        <v>13616576</v>
      </c>
      <c r="D238" s="1">
        <f>D94+D113+D127+D142+D157+D171+D185+D203+D220</f>
        <v>15211313</v>
      </c>
      <c r="E238" s="1">
        <f>E94+E113+E127+E142+E157+E171+E185+E203+E220</f>
        <v>16346786</v>
      </c>
      <c r="F238" s="1">
        <f>F94+F113+F127+F142+F157+F171+F185+F203+F220</f>
        <v>16884797</v>
      </c>
    </row>
    <row r="239" spans="1:6" ht="18" customHeight="1">
      <c r="A239" s="5" t="s">
        <v>122</v>
      </c>
      <c r="B239" s="1">
        <v>843692</v>
      </c>
      <c r="C239" s="1">
        <v>922092</v>
      </c>
      <c r="D239" s="1">
        <f>D95+D114+D128+D143+D158+D172+D186+D221</f>
        <v>1067809</v>
      </c>
      <c r="E239" s="1">
        <f>E95+E114+E128+E143+E158+E172+E186+E221</f>
        <v>793709</v>
      </c>
      <c r="F239" s="1">
        <f>F95+F114+F128+F143+F158+F172+F186+F221</f>
        <v>1025878</v>
      </c>
    </row>
    <row r="240" spans="1:6" ht="18" customHeight="1">
      <c r="A240" s="5" t="s">
        <v>123</v>
      </c>
      <c r="B240" s="1">
        <v>104210</v>
      </c>
      <c r="C240" s="1">
        <v>106704</v>
      </c>
      <c r="D240" s="1">
        <f>D187</f>
        <v>101623</v>
      </c>
      <c r="E240" s="1">
        <f>E187+E96+E222</f>
        <v>103993</v>
      </c>
      <c r="F240" s="1">
        <f>F187+F96+F222</f>
        <v>109783</v>
      </c>
    </row>
    <row r="241" spans="1:6" ht="18" customHeight="1">
      <c r="A241" s="5" t="s">
        <v>124</v>
      </c>
      <c r="B241" s="1">
        <v>522888</v>
      </c>
      <c r="C241" s="1">
        <v>598385</v>
      </c>
      <c r="D241" s="1">
        <f>D97+D98+D115+D129+D144+D159+D173+D188+D204+D205+D223</f>
        <v>498402</v>
      </c>
      <c r="E241" s="1">
        <f>E97+E98+E115+E129+E144+E159+E173+E188+E204+E205+E223</f>
        <v>569823</v>
      </c>
      <c r="F241" s="1">
        <f>F97+F98+F115+F129+F144+F159+F173+F188+F204+F205+F223</f>
        <v>470437</v>
      </c>
    </row>
    <row r="242" spans="1:6" ht="18" customHeight="1">
      <c r="A242" s="5" t="s">
        <v>125</v>
      </c>
      <c r="B242" s="1">
        <v>1990080</v>
      </c>
      <c r="C242" s="1">
        <v>2321702</v>
      </c>
      <c r="D242" s="1">
        <f>D99+D116+D130+D145+D160+D174+D189+D206+D207+D208+D224+D100</f>
        <v>2180082</v>
      </c>
      <c r="E242" s="1">
        <f>E99+E116+E130+E145+E160+E174+E189+E206+E207+E208+E224+E100</f>
        <v>2494013</v>
      </c>
      <c r="F242" s="1">
        <f>F99+F116+F130+F145+F160+F174+F189+F206+F207+F208+F224+F100</f>
        <v>2325765</v>
      </c>
    </row>
    <row r="243" spans="1:6" ht="18" customHeight="1">
      <c r="A243" s="5" t="s">
        <v>126</v>
      </c>
      <c r="B243" s="1">
        <v>106552</v>
      </c>
      <c r="C243" s="1">
        <v>157400</v>
      </c>
      <c r="D243" s="1">
        <f>D101+D131+D161+D190+D209+D210+D225+D117+D146+D175</f>
        <v>147682</v>
      </c>
      <c r="E243" s="1">
        <f>E101+E131+E161+E190+E209+E210+E225+E117+E146+E175</f>
        <v>139402</v>
      </c>
      <c r="F243" s="1">
        <f>F101+F131+F161+F190+F209+F210+F225+F117+F146+F175</f>
        <v>93875</v>
      </c>
    </row>
    <row r="244" spans="1:6" ht="18" customHeight="1">
      <c r="A244" s="5" t="s">
        <v>127</v>
      </c>
      <c r="B244" s="1">
        <v>66927</v>
      </c>
      <c r="C244" s="1">
        <v>61243</v>
      </c>
      <c r="D244" s="1">
        <f>D102+D118+D132+D147+D162+D176+D191+D211+D226</f>
        <v>50883</v>
      </c>
      <c r="E244" s="1">
        <f>E102+E118+E132+E147+E162+E176+E191+E211+E226</f>
        <v>63081</v>
      </c>
      <c r="F244" s="1">
        <f>F102+F118+F132+F147+F162+F176+F191+F211+F226</f>
        <v>67500</v>
      </c>
    </row>
    <row r="245" spans="1:6" ht="18" customHeight="1">
      <c r="A245" s="3" t="s">
        <v>128</v>
      </c>
      <c r="B245" s="3">
        <v>36393601</v>
      </c>
      <c r="C245" s="3">
        <f>SUM(C237:C244)</f>
        <v>41559870</v>
      </c>
      <c r="D245" s="3">
        <f>SUM(D237:D244)</f>
        <v>44191145</v>
      </c>
      <c r="E245" s="3">
        <f>SUM(E237:E244)</f>
        <v>47616977</v>
      </c>
      <c r="F245" s="3">
        <f>SUM(F237:F244)</f>
        <v>48804072</v>
      </c>
    </row>
    <row r="246" ht="18" customHeight="1">
      <c r="A246" s="3"/>
    </row>
    <row r="247" spans="1:6" ht="18" customHeight="1">
      <c r="A247" s="3" t="s">
        <v>129</v>
      </c>
      <c r="B247" s="3">
        <v>1014477</v>
      </c>
      <c r="C247" s="3">
        <f>C234-C245</f>
        <v>-636409</v>
      </c>
      <c r="D247" s="3">
        <f>D234-D245</f>
        <v>-1130644</v>
      </c>
      <c r="E247" s="3">
        <f>E234-E245</f>
        <v>0</v>
      </c>
      <c r="F247" s="3">
        <f>F234-F245</f>
        <v>0</v>
      </c>
    </row>
    <row r="248" ht="18" customHeight="1">
      <c r="A248" s="3"/>
    </row>
    <row r="249" spans="1:6" ht="18" customHeight="1">
      <c r="A249" s="3" t="s">
        <v>130</v>
      </c>
      <c r="B249" s="3">
        <v>5109811</v>
      </c>
      <c r="C249" s="3">
        <f>+B252+B369</f>
        <v>6787508</v>
      </c>
      <c r="D249" s="3">
        <f>+C252</f>
        <v>6151099</v>
      </c>
      <c r="E249" s="3">
        <f>+D252</f>
        <v>5020455</v>
      </c>
      <c r="F249" s="3">
        <f>+E252</f>
        <v>5020455</v>
      </c>
    </row>
    <row r="250" spans="1:6" ht="18" customHeight="1">
      <c r="A250" s="3" t="s">
        <v>131</v>
      </c>
      <c r="B250" s="3">
        <v>-5200</v>
      </c>
      <c r="C250" s="3">
        <v>0</v>
      </c>
      <c r="D250" s="3">
        <v>0</v>
      </c>
      <c r="E250" s="3">
        <v>0</v>
      </c>
      <c r="F250" s="3">
        <v>0</v>
      </c>
    </row>
    <row r="251" ht="18" customHeight="1">
      <c r="A251" s="3"/>
    </row>
    <row r="252" spans="1:6" ht="18" customHeight="1">
      <c r="A252" s="3" t="s">
        <v>132</v>
      </c>
      <c r="B252" s="3">
        <f>B247+B249+B250</f>
        <v>6119088</v>
      </c>
      <c r="C252" s="3">
        <f>C247+C249+C250</f>
        <v>6151099</v>
      </c>
      <c r="D252" s="3">
        <f>D247+D249+D250</f>
        <v>5020455</v>
      </c>
      <c r="E252" s="3">
        <f>E247+E249+E250</f>
        <v>5020455</v>
      </c>
      <c r="F252" s="3">
        <f>F247+F249+F250</f>
        <v>5020455</v>
      </c>
    </row>
    <row r="253" ht="18" customHeight="1">
      <c r="A253" s="3"/>
    </row>
    <row r="254" ht="18" customHeight="1">
      <c r="A254" s="3"/>
    </row>
    <row r="255" ht="18" customHeight="1">
      <c r="A255" s="5"/>
    </row>
    <row r="256" ht="20.25" customHeight="1">
      <c r="A256" s="2" t="s">
        <v>0</v>
      </c>
    </row>
    <row r="257" ht="18" customHeight="1">
      <c r="A257" s="3" t="s">
        <v>205</v>
      </c>
    </row>
    <row r="258" ht="18" customHeight="1">
      <c r="A258" s="3" t="s">
        <v>206</v>
      </c>
    </row>
    <row r="259" spans="2:6" ht="18" customHeight="1">
      <c r="B259" s="4" t="s">
        <v>191</v>
      </c>
      <c r="C259" s="4" t="s">
        <v>193</v>
      </c>
      <c r="D259" s="4" t="s">
        <v>208</v>
      </c>
      <c r="E259" s="4" t="s">
        <v>207</v>
      </c>
      <c r="F259" s="4" t="s">
        <v>209</v>
      </c>
    </row>
    <row r="260" spans="1:6" ht="18" customHeight="1">
      <c r="A260" s="4" t="s">
        <v>133</v>
      </c>
      <c r="B260" s="4"/>
      <c r="C260" s="4"/>
      <c r="D260" s="4"/>
      <c r="E260" s="4" t="s">
        <v>192</v>
      </c>
      <c r="F260" s="4"/>
    </row>
    <row r="261" ht="18" customHeight="1">
      <c r="A261" s="3" t="s">
        <v>2</v>
      </c>
    </row>
    <row r="262" ht="18" customHeight="1">
      <c r="A262" s="3" t="s">
        <v>3</v>
      </c>
    </row>
    <row r="263" spans="1:6" ht="18" customHeight="1">
      <c r="A263" s="1" t="s">
        <v>134</v>
      </c>
      <c r="B263" s="1">
        <v>1577</v>
      </c>
      <c r="C263" s="1">
        <v>1624</v>
      </c>
      <c r="D263" s="1">
        <v>1537</v>
      </c>
      <c r="E263" s="1">
        <v>12500</v>
      </c>
      <c r="F263" s="1">
        <v>12500</v>
      </c>
    </row>
    <row r="264" spans="1:6" ht="18" customHeight="1">
      <c r="A264" s="1" t="s">
        <v>135</v>
      </c>
      <c r="B264" s="1">
        <v>341922</v>
      </c>
      <c r="C264" s="1">
        <v>416571</v>
      </c>
      <c r="D264" s="1">
        <v>1095474</v>
      </c>
      <c r="E264" s="1">
        <v>622500</v>
      </c>
      <c r="F264" s="1">
        <v>572500</v>
      </c>
    </row>
    <row r="265" spans="1:6" ht="18" customHeight="1">
      <c r="A265" s="1" t="s">
        <v>136</v>
      </c>
      <c r="B265" s="1">
        <v>25349</v>
      </c>
      <c r="C265" s="1">
        <v>28432</v>
      </c>
      <c r="D265" s="1">
        <v>18537</v>
      </c>
      <c r="E265" s="1">
        <v>97500</v>
      </c>
      <c r="F265" s="1">
        <v>97500</v>
      </c>
    </row>
    <row r="266" spans="1:6" ht="18" customHeight="1">
      <c r="A266" s="1" t="s">
        <v>137</v>
      </c>
      <c r="B266" s="1">
        <v>1296757</v>
      </c>
      <c r="C266" s="1">
        <v>1479364</v>
      </c>
      <c r="D266" s="1">
        <v>979662</v>
      </c>
      <c r="E266" s="1">
        <v>1840500</v>
      </c>
      <c r="F266" s="1">
        <v>1640500</v>
      </c>
    </row>
    <row r="267" spans="1:6" ht="18" customHeight="1">
      <c r="A267" s="3" t="s">
        <v>61</v>
      </c>
      <c r="B267" s="3">
        <f>SUM(B263:B266)</f>
        <v>1665605</v>
      </c>
      <c r="C267" s="3">
        <f>SUM(C263:C266)</f>
        <v>1925991</v>
      </c>
      <c r="D267" s="3">
        <f>SUM(D263:D266)</f>
        <v>2095210</v>
      </c>
      <c r="E267" s="3">
        <f>SUM(E263:E266)</f>
        <v>2573000</v>
      </c>
      <c r="F267" s="3">
        <f>SUM(F263:F266)</f>
        <v>2323000</v>
      </c>
    </row>
    <row r="269" ht="18" customHeight="1">
      <c r="A269" s="3" t="s">
        <v>62</v>
      </c>
    </row>
    <row r="270" spans="1:6" ht="18" customHeight="1">
      <c r="A270" s="1" t="s">
        <v>139</v>
      </c>
      <c r="B270" s="1">
        <v>165247</v>
      </c>
      <c r="C270" s="1">
        <v>304959</v>
      </c>
      <c r="D270" s="1">
        <v>223044</v>
      </c>
      <c r="E270" s="1">
        <v>415250</v>
      </c>
      <c r="F270" s="1">
        <v>515250</v>
      </c>
    </row>
    <row r="271" spans="1:6" ht="18" customHeight="1">
      <c r="A271" s="1" t="s">
        <v>122</v>
      </c>
      <c r="B271" s="1">
        <v>164855</v>
      </c>
      <c r="C271" s="1">
        <v>80232</v>
      </c>
      <c r="D271" s="1">
        <v>124068</v>
      </c>
      <c r="E271" s="1">
        <v>175750</v>
      </c>
      <c r="F271" s="1">
        <v>75750</v>
      </c>
    </row>
    <row r="272" spans="1:6" ht="18" customHeight="1">
      <c r="A272" s="1" t="s">
        <v>124</v>
      </c>
      <c r="B272" s="1">
        <v>166663</v>
      </c>
      <c r="C272" s="1">
        <v>219648</v>
      </c>
      <c r="D272" s="1">
        <v>276001</v>
      </c>
      <c r="E272" s="1">
        <v>295700</v>
      </c>
      <c r="F272" s="1">
        <v>195700</v>
      </c>
    </row>
    <row r="273" spans="1:6" ht="18" customHeight="1">
      <c r="A273" s="1" t="s">
        <v>125</v>
      </c>
      <c r="B273" s="1">
        <v>1186570</v>
      </c>
      <c r="C273" s="1">
        <v>1209162</v>
      </c>
      <c r="D273" s="1">
        <v>1472097</v>
      </c>
      <c r="E273" s="1">
        <v>1686300</v>
      </c>
      <c r="F273" s="1">
        <v>1536300</v>
      </c>
    </row>
    <row r="274" spans="1:3" ht="18" customHeight="1">
      <c r="A274" s="1" t="s">
        <v>126</v>
      </c>
      <c r="B274" s="1">
        <v>0</v>
      </c>
      <c r="C274" s="1">
        <v>0</v>
      </c>
    </row>
    <row r="275" spans="1:6" ht="18" customHeight="1">
      <c r="A275" s="3" t="s">
        <v>128</v>
      </c>
      <c r="B275" s="3">
        <f>SUM(B270:B274)</f>
        <v>1683335</v>
      </c>
      <c r="C275" s="3">
        <f>SUM(C270:C274)</f>
        <v>1814001</v>
      </c>
      <c r="D275" s="3">
        <f>SUM(D270:D274)</f>
        <v>2095210</v>
      </c>
      <c r="E275" s="3">
        <f>SUM(E270:E274)</f>
        <v>2573000</v>
      </c>
      <c r="F275" s="3">
        <f>SUM(F270:F274)</f>
        <v>2323000</v>
      </c>
    </row>
    <row r="277" spans="1:6" ht="18" customHeight="1">
      <c r="A277" s="3" t="s">
        <v>129</v>
      </c>
      <c r="B277" s="3">
        <v>-17730</v>
      </c>
      <c r="C277" s="3">
        <f>C267-C275</f>
        <v>111990</v>
      </c>
      <c r="D277" s="3">
        <f>D267-D275</f>
        <v>0</v>
      </c>
      <c r="E277" s="3">
        <f>E267-E275</f>
        <v>0</v>
      </c>
      <c r="F277" s="3">
        <f>F267-F275</f>
        <v>0</v>
      </c>
    </row>
    <row r="278" ht="18" customHeight="1">
      <c r="A278" s="3"/>
    </row>
    <row r="279" spans="1:6" ht="18" customHeight="1">
      <c r="A279" s="3" t="s">
        <v>130</v>
      </c>
      <c r="B279" s="3">
        <v>0</v>
      </c>
      <c r="C279" s="3">
        <v>0</v>
      </c>
      <c r="D279" s="3">
        <v>0</v>
      </c>
      <c r="E279" s="3">
        <v>0</v>
      </c>
      <c r="F279" s="3">
        <v>0</v>
      </c>
    </row>
    <row r="280" spans="1:6" ht="18" customHeight="1">
      <c r="A280" s="3" t="s">
        <v>131</v>
      </c>
      <c r="B280" s="3">
        <v>17730</v>
      </c>
      <c r="C280" s="3">
        <v>-111990</v>
      </c>
      <c r="D280" s="3">
        <v>0</v>
      </c>
      <c r="E280" s="3">
        <v>0</v>
      </c>
      <c r="F280" s="3">
        <v>0</v>
      </c>
    </row>
    <row r="281" ht="18" customHeight="1">
      <c r="A281" s="3"/>
    </row>
    <row r="282" spans="1:6" ht="18" customHeight="1">
      <c r="A282" s="3" t="s">
        <v>132</v>
      </c>
      <c r="B282" s="3">
        <f>B277+B279+B280</f>
        <v>0</v>
      </c>
      <c r="C282" s="3">
        <f>C277+C279+C280</f>
        <v>0</v>
      </c>
      <c r="D282" s="3">
        <f>D277+D279+D280</f>
        <v>0</v>
      </c>
      <c r="E282" s="3">
        <f>E277+E279+E280</f>
        <v>0</v>
      </c>
      <c r="F282" s="3">
        <f>F277+F279+F280</f>
        <v>0</v>
      </c>
    </row>
    <row r="286" ht="21" customHeight="1">
      <c r="A286" s="2" t="s">
        <v>0</v>
      </c>
    </row>
    <row r="287" ht="18" customHeight="1">
      <c r="A287" s="3" t="s">
        <v>205</v>
      </c>
    </row>
    <row r="288" ht="18" customHeight="1">
      <c r="A288" s="3" t="s">
        <v>206</v>
      </c>
    </row>
    <row r="289" spans="2:6" ht="18" customHeight="1">
      <c r="B289" s="4" t="s">
        <v>191</v>
      </c>
      <c r="C289" s="4" t="s">
        <v>193</v>
      </c>
      <c r="D289" s="4" t="s">
        <v>208</v>
      </c>
      <c r="E289" s="4" t="s">
        <v>207</v>
      </c>
      <c r="F289" s="4" t="s">
        <v>209</v>
      </c>
    </row>
    <row r="290" spans="1:6" ht="18" customHeight="1">
      <c r="A290" s="4" t="s">
        <v>141</v>
      </c>
      <c r="B290" s="4"/>
      <c r="C290" s="4"/>
      <c r="D290" s="4"/>
      <c r="E290" s="4" t="s">
        <v>192</v>
      </c>
      <c r="F290" s="4"/>
    </row>
    <row r="291" ht="18" customHeight="1">
      <c r="A291" s="3" t="s">
        <v>2</v>
      </c>
    </row>
    <row r="292" ht="18" customHeight="1">
      <c r="A292" s="3" t="s">
        <v>3</v>
      </c>
    </row>
    <row r="293" ht="18" customHeight="1">
      <c r="A293" s="1" t="s">
        <v>4</v>
      </c>
    </row>
    <row r="294" spans="1:6" ht="18" customHeight="1">
      <c r="A294" s="5" t="s">
        <v>142</v>
      </c>
      <c r="B294" s="1">
        <v>1039706</v>
      </c>
      <c r="C294" s="1">
        <v>0</v>
      </c>
      <c r="D294" s="1">
        <v>0</v>
      </c>
      <c r="E294" s="1">
        <v>0</v>
      </c>
      <c r="F294" s="1">
        <v>0</v>
      </c>
    </row>
    <row r="296" ht="18" customHeight="1">
      <c r="A296" s="1" t="s">
        <v>8</v>
      </c>
    </row>
    <row r="297" spans="1:6" ht="18" customHeight="1">
      <c r="A297" s="5" t="s">
        <v>144</v>
      </c>
      <c r="B297" s="1">
        <v>8708</v>
      </c>
      <c r="C297" s="1">
        <v>0</v>
      </c>
      <c r="D297" s="1">
        <v>0</v>
      </c>
      <c r="E297" s="1">
        <v>0</v>
      </c>
      <c r="F297" s="1">
        <v>0</v>
      </c>
    </row>
    <row r="298" spans="1:6" ht="18" customHeight="1">
      <c r="A298" s="5" t="s">
        <v>145</v>
      </c>
      <c r="B298" s="1">
        <v>81030</v>
      </c>
      <c r="C298" s="1">
        <v>0</v>
      </c>
      <c r="D298" s="1">
        <v>0</v>
      </c>
      <c r="E298" s="1">
        <v>0</v>
      </c>
      <c r="F298" s="1">
        <v>0</v>
      </c>
    </row>
    <row r="299" spans="1:6" ht="18" customHeight="1">
      <c r="A299" s="5" t="s">
        <v>146</v>
      </c>
      <c r="B299" s="1">
        <v>0</v>
      </c>
      <c r="C299" s="1">
        <v>0</v>
      </c>
      <c r="D299" s="1">
        <v>0</v>
      </c>
      <c r="E299" s="1">
        <v>0</v>
      </c>
      <c r="F299" s="1">
        <v>0</v>
      </c>
    </row>
    <row r="300" spans="1:6" ht="18" customHeight="1">
      <c r="A300" s="5" t="s">
        <v>15</v>
      </c>
      <c r="B300" s="6">
        <v>89738</v>
      </c>
      <c r="C300" s="6">
        <v>0</v>
      </c>
      <c r="D300" s="6">
        <v>0</v>
      </c>
      <c r="E300" s="6">
        <v>0</v>
      </c>
      <c r="F300" s="6">
        <v>0</v>
      </c>
    </row>
    <row r="301" spans="1:6" ht="18" customHeight="1">
      <c r="A301" s="3" t="s">
        <v>16</v>
      </c>
      <c r="B301" s="3">
        <v>1129444</v>
      </c>
      <c r="C301" s="3">
        <v>0</v>
      </c>
      <c r="D301" s="3">
        <v>0</v>
      </c>
      <c r="E301" s="3">
        <v>0</v>
      </c>
      <c r="F301" s="3">
        <v>0</v>
      </c>
    </row>
    <row r="302" spans="1:6" ht="18" customHeight="1">
      <c r="A302" s="5"/>
      <c r="B302" s="6"/>
      <c r="C302" s="6"/>
      <c r="D302" s="6"/>
      <c r="E302" s="6"/>
      <c r="F302" s="6"/>
    </row>
    <row r="303" spans="1:6" ht="18" customHeight="1">
      <c r="A303" s="3" t="s">
        <v>17</v>
      </c>
      <c r="B303" s="6"/>
      <c r="C303" s="6"/>
      <c r="D303" s="6"/>
      <c r="E303" s="6"/>
      <c r="F303" s="6"/>
    </row>
    <row r="304" spans="1:6" ht="18" customHeight="1">
      <c r="A304" s="5" t="s">
        <v>147</v>
      </c>
      <c r="B304" s="1">
        <v>433493</v>
      </c>
      <c r="C304" s="1">
        <v>0</v>
      </c>
      <c r="D304" s="1">
        <v>0</v>
      </c>
      <c r="E304" s="1">
        <v>0</v>
      </c>
      <c r="F304" s="1">
        <v>0</v>
      </c>
    </row>
    <row r="305" spans="1:6" ht="18" customHeight="1">
      <c r="A305" s="5" t="s">
        <v>148</v>
      </c>
      <c r="B305" s="1">
        <v>80058</v>
      </c>
      <c r="C305" s="1">
        <v>0</v>
      </c>
      <c r="D305" s="1">
        <v>0</v>
      </c>
      <c r="E305" s="1">
        <v>0</v>
      </c>
      <c r="F305" s="1">
        <v>0</v>
      </c>
    </row>
    <row r="306" spans="1:6" ht="18" customHeight="1">
      <c r="A306" s="3" t="s">
        <v>50</v>
      </c>
      <c r="B306" s="3">
        <v>513551</v>
      </c>
      <c r="C306" s="3">
        <v>0</v>
      </c>
      <c r="D306" s="3">
        <v>0</v>
      </c>
      <c r="E306" s="3">
        <v>0</v>
      </c>
      <c r="F306" s="3">
        <v>0</v>
      </c>
    </row>
    <row r="307" spans="1:6" ht="18" customHeight="1">
      <c r="A307" s="3"/>
      <c r="B307" s="3"/>
      <c r="C307" s="3"/>
      <c r="D307" s="3"/>
      <c r="E307" s="3"/>
      <c r="F307" s="3"/>
    </row>
    <row r="308" spans="1:6" ht="18" customHeight="1">
      <c r="A308" s="3" t="s">
        <v>51</v>
      </c>
      <c r="B308" s="3"/>
      <c r="C308" s="3"/>
      <c r="D308" s="3"/>
      <c r="E308" s="3"/>
      <c r="F308" s="3"/>
    </row>
    <row r="309" spans="1:6" ht="18" customHeight="1">
      <c r="A309" s="5" t="s">
        <v>147</v>
      </c>
      <c r="B309" s="5">
        <v>34829</v>
      </c>
      <c r="C309" s="5">
        <v>0</v>
      </c>
      <c r="D309" s="5">
        <v>0</v>
      </c>
      <c r="E309" s="5">
        <v>0</v>
      </c>
      <c r="F309" s="5">
        <v>0</v>
      </c>
    </row>
    <row r="310" spans="1:6" ht="18" customHeight="1">
      <c r="A310" s="5" t="s">
        <v>148</v>
      </c>
      <c r="B310" s="5">
        <v>39091</v>
      </c>
      <c r="C310" s="5">
        <v>0</v>
      </c>
      <c r="D310" s="5">
        <v>0</v>
      </c>
      <c r="E310" s="5">
        <v>0</v>
      </c>
      <c r="F310" s="5">
        <v>0</v>
      </c>
    </row>
    <row r="311" spans="1:6" ht="18" customHeight="1">
      <c r="A311" s="3" t="s">
        <v>60</v>
      </c>
      <c r="B311" s="3">
        <v>73920</v>
      </c>
      <c r="C311" s="3">
        <v>0</v>
      </c>
      <c r="D311" s="3">
        <v>0</v>
      </c>
      <c r="E311" s="3">
        <v>0</v>
      </c>
      <c r="F311" s="3">
        <v>0</v>
      </c>
    </row>
    <row r="312" spans="1:6" ht="18" customHeight="1">
      <c r="A312" s="5"/>
      <c r="B312" s="3"/>
      <c r="C312" s="3"/>
      <c r="D312" s="3"/>
      <c r="E312" s="3"/>
      <c r="F312" s="3"/>
    </row>
    <row r="313" spans="1:6" ht="18" customHeight="1">
      <c r="A313" s="3" t="s">
        <v>61</v>
      </c>
      <c r="B313" s="3">
        <v>1716915</v>
      </c>
      <c r="C313" s="3">
        <v>0</v>
      </c>
      <c r="D313" s="3">
        <v>0</v>
      </c>
      <c r="E313" s="3">
        <v>0</v>
      </c>
      <c r="F313" s="3">
        <v>0</v>
      </c>
    </row>
    <row r="314" spans="1:6" ht="18" customHeight="1">
      <c r="A314" s="5"/>
      <c r="B314" s="6"/>
      <c r="C314" s="6"/>
      <c r="D314" s="6"/>
      <c r="E314" s="6"/>
      <c r="F314" s="6"/>
    </row>
    <row r="315" spans="1:6" ht="18" customHeight="1">
      <c r="A315" s="5"/>
      <c r="B315" s="6"/>
      <c r="C315" s="6"/>
      <c r="D315" s="6"/>
      <c r="E315" s="6"/>
      <c r="F315" s="6"/>
    </row>
    <row r="316" spans="1:6" ht="18" customHeight="1">
      <c r="A316" s="3" t="s">
        <v>62</v>
      </c>
      <c r="B316" s="6"/>
      <c r="C316" s="6"/>
      <c r="D316" s="6"/>
      <c r="E316" s="6"/>
      <c r="F316" s="6"/>
    </row>
    <row r="317" spans="1:6" ht="18" customHeight="1">
      <c r="A317" s="5" t="s">
        <v>149</v>
      </c>
      <c r="B317" s="6"/>
      <c r="C317" s="6"/>
      <c r="D317" s="6"/>
      <c r="E317" s="6"/>
      <c r="F317" s="6"/>
    </row>
    <row r="318" spans="1:6" ht="18" customHeight="1">
      <c r="A318" s="3" t="s">
        <v>150</v>
      </c>
      <c r="B318" s="6"/>
      <c r="C318" s="6"/>
      <c r="D318" s="6"/>
      <c r="E318" s="6"/>
      <c r="F318" s="6"/>
    </row>
    <row r="319" spans="1:6" ht="18" customHeight="1">
      <c r="A319" s="5" t="s">
        <v>151</v>
      </c>
      <c r="B319" s="1">
        <v>817332</v>
      </c>
      <c r="C319" s="1">
        <v>0</v>
      </c>
      <c r="D319" s="1">
        <v>0</v>
      </c>
      <c r="E319" s="1">
        <v>0</v>
      </c>
      <c r="F319" s="1">
        <v>0</v>
      </c>
    </row>
    <row r="320" spans="1:6" ht="18" customHeight="1">
      <c r="A320" s="3" t="s">
        <v>68</v>
      </c>
      <c r="B320" s="3">
        <v>817332</v>
      </c>
      <c r="C320" s="3">
        <v>0</v>
      </c>
      <c r="D320" s="3">
        <v>0</v>
      </c>
      <c r="E320" s="3">
        <v>0</v>
      </c>
      <c r="F320" s="3">
        <v>0</v>
      </c>
    </row>
    <row r="321" spans="1:6" ht="18" customHeight="1">
      <c r="A321" s="5" t="s">
        <v>69</v>
      </c>
      <c r="B321" s="1">
        <v>179722</v>
      </c>
      <c r="C321" s="1">
        <v>0</v>
      </c>
      <c r="D321" s="1">
        <v>0</v>
      </c>
      <c r="E321" s="1">
        <v>0</v>
      </c>
      <c r="F321" s="1">
        <v>0</v>
      </c>
    </row>
    <row r="322" spans="1:6" ht="18" customHeight="1">
      <c r="A322" s="5" t="s">
        <v>70</v>
      </c>
      <c r="B322" s="1">
        <v>176689</v>
      </c>
      <c r="C322" s="1">
        <v>0</v>
      </c>
      <c r="D322" s="1">
        <v>0</v>
      </c>
      <c r="E322" s="1">
        <v>0</v>
      </c>
      <c r="F322" s="1">
        <v>0</v>
      </c>
    </row>
    <row r="323" spans="1:6" ht="18" customHeight="1">
      <c r="A323" s="5" t="s">
        <v>71</v>
      </c>
      <c r="B323" s="1">
        <v>0</v>
      </c>
      <c r="C323" s="1">
        <v>0</v>
      </c>
      <c r="D323" s="1">
        <v>0</v>
      </c>
      <c r="E323" s="1">
        <v>0</v>
      </c>
      <c r="F323" s="1">
        <v>0</v>
      </c>
    </row>
    <row r="324" spans="1:6" ht="18" customHeight="1">
      <c r="A324" s="3" t="s">
        <v>72</v>
      </c>
      <c r="B324" s="3">
        <v>356411</v>
      </c>
      <c r="C324" s="3">
        <v>0</v>
      </c>
      <c r="D324" s="3">
        <v>0</v>
      </c>
      <c r="E324" s="3">
        <v>0</v>
      </c>
      <c r="F324" s="3">
        <v>0</v>
      </c>
    </row>
    <row r="325" spans="1:6" ht="18" customHeight="1">
      <c r="A325" s="5" t="s">
        <v>73</v>
      </c>
      <c r="B325" s="1">
        <v>28320</v>
      </c>
      <c r="C325" s="1">
        <v>0</v>
      </c>
      <c r="D325" s="1">
        <v>0</v>
      </c>
      <c r="E325" s="1">
        <v>0</v>
      </c>
      <c r="F325" s="1">
        <v>0</v>
      </c>
    </row>
    <row r="326" spans="1:6" ht="18" customHeight="1">
      <c r="A326" s="5" t="s">
        <v>99</v>
      </c>
      <c r="B326" s="1">
        <v>2003</v>
      </c>
      <c r="C326" s="1">
        <v>0</v>
      </c>
      <c r="D326" s="1">
        <v>0</v>
      </c>
      <c r="E326" s="1">
        <v>0</v>
      </c>
      <c r="F326" s="1">
        <v>0</v>
      </c>
    </row>
    <row r="327" spans="1:6" ht="18" customHeight="1">
      <c r="A327" s="5" t="s">
        <v>74</v>
      </c>
      <c r="B327" s="1">
        <v>2725</v>
      </c>
      <c r="C327" s="1">
        <v>0</v>
      </c>
      <c r="D327" s="1">
        <v>0</v>
      </c>
      <c r="E327" s="1">
        <v>0</v>
      </c>
      <c r="F327" s="1">
        <v>0</v>
      </c>
    </row>
    <row r="328" spans="1:6" ht="18" customHeight="1">
      <c r="A328" s="5" t="s">
        <v>76</v>
      </c>
      <c r="B328" s="1">
        <v>44382</v>
      </c>
      <c r="C328" s="1">
        <v>0</v>
      </c>
      <c r="D328" s="1">
        <v>0</v>
      </c>
      <c r="E328" s="1">
        <v>0</v>
      </c>
      <c r="F328" s="1">
        <v>0</v>
      </c>
    </row>
    <row r="329" spans="1:6" ht="18" customHeight="1">
      <c r="A329" s="5" t="s">
        <v>78</v>
      </c>
      <c r="B329" s="1">
        <v>2073</v>
      </c>
      <c r="C329" s="1">
        <v>0</v>
      </c>
      <c r="D329" s="1">
        <v>0</v>
      </c>
      <c r="E329" s="1">
        <v>0</v>
      </c>
      <c r="F329" s="1">
        <v>0</v>
      </c>
    </row>
    <row r="330" spans="1:6" ht="18" customHeight="1">
      <c r="A330" s="5" t="s">
        <v>79</v>
      </c>
      <c r="B330" s="1">
        <v>0</v>
      </c>
      <c r="C330" s="1">
        <v>0</v>
      </c>
      <c r="D330" s="1">
        <v>0</v>
      </c>
      <c r="E330" s="1">
        <v>0</v>
      </c>
      <c r="F330" s="1">
        <v>0</v>
      </c>
    </row>
    <row r="331" spans="1:6" ht="18" customHeight="1">
      <c r="A331" s="3" t="s">
        <v>152</v>
      </c>
      <c r="B331" s="3">
        <v>1253246</v>
      </c>
      <c r="C331" s="3">
        <v>0</v>
      </c>
      <c r="D331" s="3">
        <v>0</v>
      </c>
      <c r="E331" s="3">
        <v>0</v>
      </c>
      <c r="F331" s="3">
        <v>0</v>
      </c>
    </row>
    <row r="332" spans="1:6" ht="18" customHeight="1">
      <c r="A332" s="5"/>
      <c r="B332" s="6"/>
      <c r="C332" s="6"/>
      <c r="D332" s="6"/>
      <c r="E332" s="6"/>
      <c r="F332" s="6"/>
    </row>
    <row r="333" spans="1:6" ht="18" customHeight="1">
      <c r="A333" s="3" t="s">
        <v>153</v>
      </c>
      <c r="B333" s="6"/>
      <c r="C333" s="6"/>
      <c r="D333" s="6"/>
      <c r="E333" s="6"/>
      <c r="F333" s="6"/>
    </row>
    <row r="334" spans="1:6" ht="18" customHeight="1">
      <c r="A334" s="5" t="s">
        <v>151</v>
      </c>
      <c r="B334" s="1">
        <v>130447</v>
      </c>
      <c r="C334" s="1">
        <v>0</v>
      </c>
      <c r="D334" s="1">
        <v>0</v>
      </c>
      <c r="E334" s="1">
        <v>0</v>
      </c>
      <c r="F334" s="1">
        <v>0</v>
      </c>
    </row>
    <row r="335" spans="1:6" ht="18" customHeight="1">
      <c r="A335" s="3" t="s">
        <v>68</v>
      </c>
      <c r="B335" s="3">
        <v>130447</v>
      </c>
      <c r="C335" s="3">
        <v>0</v>
      </c>
      <c r="D335" s="3">
        <v>0</v>
      </c>
      <c r="E335" s="3">
        <v>0</v>
      </c>
      <c r="F335" s="3">
        <v>0</v>
      </c>
    </row>
    <row r="336" spans="1:6" ht="18" customHeight="1">
      <c r="A336" s="5" t="s">
        <v>69</v>
      </c>
      <c r="B336" s="1">
        <v>18245</v>
      </c>
      <c r="C336" s="1">
        <v>0</v>
      </c>
      <c r="D336" s="1">
        <v>0</v>
      </c>
      <c r="E336" s="1">
        <v>0</v>
      </c>
      <c r="F336" s="1">
        <v>0</v>
      </c>
    </row>
    <row r="337" spans="1:6" ht="18" customHeight="1">
      <c r="A337" s="5" t="s">
        <v>70</v>
      </c>
      <c r="B337" s="1">
        <v>9924</v>
      </c>
      <c r="C337" s="1">
        <v>0</v>
      </c>
      <c r="D337" s="1">
        <v>0</v>
      </c>
      <c r="E337" s="1">
        <v>0</v>
      </c>
      <c r="F337" s="1">
        <v>0</v>
      </c>
    </row>
    <row r="338" spans="1:6" ht="18" customHeight="1">
      <c r="A338" s="5" t="s">
        <v>71</v>
      </c>
      <c r="B338" s="1">
        <v>33112</v>
      </c>
      <c r="C338" s="1">
        <v>0</v>
      </c>
      <c r="D338" s="1">
        <v>0</v>
      </c>
      <c r="E338" s="1">
        <v>0</v>
      </c>
      <c r="F338" s="1">
        <v>0</v>
      </c>
    </row>
    <row r="339" spans="1:6" ht="18" customHeight="1">
      <c r="A339" s="3" t="s">
        <v>72</v>
      </c>
      <c r="B339" s="3">
        <v>61281</v>
      </c>
      <c r="C339" s="3">
        <v>0</v>
      </c>
      <c r="D339" s="3">
        <v>0</v>
      </c>
      <c r="E339" s="3">
        <v>0</v>
      </c>
      <c r="F339" s="3">
        <v>0</v>
      </c>
    </row>
    <row r="340" spans="1:6" ht="18" customHeight="1">
      <c r="A340" s="5" t="s">
        <v>73</v>
      </c>
      <c r="B340" s="1">
        <v>0</v>
      </c>
      <c r="C340" s="1">
        <v>0</v>
      </c>
      <c r="D340" s="1">
        <v>0</v>
      </c>
      <c r="E340" s="1">
        <v>0</v>
      </c>
      <c r="F340" s="1">
        <v>0</v>
      </c>
    </row>
    <row r="341" spans="1:6" ht="18" customHeight="1">
      <c r="A341" s="5" t="s">
        <v>76</v>
      </c>
      <c r="B341" s="1">
        <v>121160</v>
      </c>
      <c r="C341" s="1">
        <v>0</v>
      </c>
      <c r="D341" s="1">
        <v>0</v>
      </c>
      <c r="E341" s="1">
        <v>0</v>
      </c>
      <c r="F341" s="1">
        <v>0</v>
      </c>
    </row>
    <row r="342" spans="1:6" ht="18" customHeight="1">
      <c r="A342" s="5" t="s">
        <v>78</v>
      </c>
      <c r="B342" s="1">
        <v>0</v>
      </c>
      <c r="C342" s="1">
        <v>0</v>
      </c>
      <c r="D342" s="1">
        <v>0</v>
      </c>
      <c r="E342" s="1">
        <v>0</v>
      </c>
      <c r="F342" s="1">
        <v>0</v>
      </c>
    </row>
    <row r="343" spans="1:6" ht="18" customHeight="1">
      <c r="A343" s="5" t="s">
        <v>79</v>
      </c>
      <c r="B343" s="1">
        <v>0</v>
      </c>
      <c r="C343" s="1">
        <v>0</v>
      </c>
      <c r="D343" s="1">
        <v>0</v>
      </c>
      <c r="E343" s="1">
        <v>0</v>
      </c>
      <c r="F343" s="1">
        <v>0</v>
      </c>
    </row>
    <row r="344" spans="1:6" ht="18" customHeight="1">
      <c r="A344" s="3" t="s">
        <v>154</v>
      </c>
      <c r="B344" s="3">
        <v>314183</v>
      </c>
      <c r="C344" s="3">
        <v>0</v>
      </c>
      <c r="D344" s="3">
        <v>0</v>
      </c>
      <c r="E344" s="3">
        <v>0</v>
      </c>
      <c r="F344" s="3">
        <v>0</v>
      </c>
    </row>
    <row r="345" spans="1:6" ht="18" customHeight="1">
      <c r="A345" s="3"/>
      <c r="B345" s="3"/>
      <c r="C345" s="3"/>
      <c r="D345" s="3"/>
      <c r="E345" s="3"/>
      <c r="F345" s="3"/>
    </row>
    <row r="346" spans="1:6" ht="18" customHeight="1">
      <c r="A346" s="5"/>
      <c r="B346" s="6"/>
      <c r="C346" s="6"/>
      <c r="D346" s="6"/>
      <c r="E346" s="6"/>
      <c r="F346" s="6"/>
    </row>
    <row r="347" ht="18" customHeight="1">
      <c r="A347" s="3" t="s">
        <v>155</v>
      </c>
    </row>
    <row r="348" ht="18" customHeight="1">
      <c r="A348" s="3" t="s">
        <v>115</v>
      </c>
    </row>
    <row r="349" spans="1:6" ht="18" customHeight="1">
      <c r="A349" s="5" t="s">
        <v>116</v>
      </c>
      <c r="B349" s="1">
        <v>1129444</v>
      </c>
      <c r="C349" s="1">
        <v>0</v>
      </c>
      <c r="D349" s="1">
        <v>0</v>
      </c>
      <c r="E349" s="1">
        <v>0</v>
      </c>
      <c r="F349" s="1">
        <v>0</v>
      </c>
    </row>
    <row r="350" spans="1:6" ht="18" customHeight="1">
      <c r="A350" s="5" t="s">
        <v>117</v>
      </c>
      <c r="B350" s="1">
        <v>513551</v>
      </c>
      <c r="C350" s="1">
        <v>0</v>
      </c>
      <c r="D350" s="1">
        <v>0</v>
      </c>
      <c r="E350" s="1">
        <v>0</v>
      </c>
      <c r="F350" s="1">
        <v>0</v>
      </c>
    </row>
    <row r="351" spans="1:6" ht="18" customHeight="1">
      <c r="A351" s="5" t="s">
        <v>118</v>
      </c>
      <c r="B351" s="1">
        <v>73920</v>
      </c>
      <c r="C351" s="1">
        <v>0</v>
      </c>
      <c r="D351" s="1">
        <v>0</v>
      </c>
      <c r="E351" s="1">
        <v>0</v>
      </c>
      <c r="F351" s="1">
        <v>0</v>
      </c>
    </row>
    <row r="352" spans="1:6" ht="18" customHeight="1">
      <c r="A352" s="3" t="s">
        <v>61</v>
      </c>
      <c r="B352" s="3">
        <v>1716915</v>
      </c>
      <c r="C352" s="3">
        <v>0</v>
      </c>
      <c r="D352" s="3">
        <v>0</v>
      </c>
      <c r="E352" s="3">
        <v>0</v>
      </c>
      <c r="F352" s="3">
        <v>0</v>
      </c>
    </row>
    <row r="353" ht="18" customHeight="1">
      <c r="A353" s="3"/>
    </row>
    <row r="354" ht="18" customHeight="1">
      <c r="A354" s="3" t="s">
        <v>119</v>
      </c>
    </row>
    <row r="355" spans="1:6" ht="18" customHeight="1">
      <c r="A355" s="5" t="s">
        <v>120</v>
      </c>
      <c r="B355" s="1">
        <v>947779</v>
      </c>
      <c r="C355" s="1">
        <v>0</v>
      </c>
      <c r="D355" s="1">
        <v>0</v>
      </c>
      <c r="E355" s="1">
        <v>0</v>
      </c>
      <c r="F355" s="1">
        <v>0</v>
      </c>
    </row>
    <row r="356" spans="1:6" ht="18" customHeight="1">
      <c r="A356" s="5" t="s">
        <v>121</v>
      </c>
      <c r="B356" s="1">
        <v>417692</v>
      </c>
      <c r="C356" s="1">
        <v>0</v>
      </c>
      <c r="D356" s="1">
        <v>0</v>
      </c>
      <c r="E356" s="1">
        <v>0</v>
      </c>
      <c r="F356" s="1">
        <v>0</v>
      </c>
    </row>
    <row r="357" spans="1:6" ht="18" customHeight="1">
      <c r="A357" s="5" t="s">
        <v>122</v>
      </c>
      <c r="B357" s="1">
        <v>28320</v>
      </c>
      <c r="C357" s="1">
        <v>0</v>
      </c>
      <c r="D357" s="1">
        <v>0</v>
      </c>
      <c r="E357" s="1">
        <v>0</v>
      </c>
      <c r="F357" s="1">
        <v>0</v>
      </c>
    </row>
    <row r="358" spans="1:6" ht="18" customHeight="1">
      <c r="A358" s="5" t="s">
        <v>123</v>
      </c>
      <c r="B358" s="1">
        <v>2003</v>
      </c>
      <c r="C358" s="1">
        <v>0</v>
      </c>
      <c r="D358" s="1">
        <v>0</v>
      </c>
      <c r="E358" s="1">
        <v>0</v>
      </c>
      <c r="F358" s="1">
        <v>0</v>
      </c>
    </row>
    <row r="359" spans="1:6" ht="18" customHeight="1">
      <c r="A359" s="5" t="s">
        <v>124</v>
      </c>
      <c r="B359" s="1">
        <v>4020</v>
      </c>
      <c r="C359" s="1">
        <v>0</v>
      </c>
      <c r="D359" s="1">
        <v>0</v>
      </c>
      <c r="E359" s="1">
        <v>0</v>
      </c>
      <c r="F359" s="1">
        <v>0</v>
      </c>
    </row>
    <row r="360" spans="1:6" ht="18" customHeight="1">
      <c r="A360" s="5" t="s">
        <v>125</v>
      </c>
      <c r="B360" s="1">
        <v>165542</v>
      </c>
      <c r="C360" s="1">
        <v>0</v>
      </c>
      <c r="D360" s="1">
        <v>0</v>
      </c>
      <c r="E360" s="1">
        <v>0</v>
      </c>
      <c r="F360" s="1">
        <v>0</v>
      </c>
    </row>
    <row r="361" spans="1:6" ht="18" customHeight="1">
      <c r="A361" s="5" t="s">
        <v>126</v>
      </c>
      <c r="B361" s="1">
        <v>2073</v>
      </c>
      <c r="C361" s="1">
        <v>0</v>
      </c>
      <c r="D361" s="1">
        <v>0</v>
      </c>
      <c r="E361" s="1">
        <v>0</v>
      </c>
      <c r="F361" s="1">
        <v>0</v>
      </c>
    </row>
    <row r="362" spans="1:6" ht="18" customHeight="1">
      <c r="A362" s="5" t="s">
        <v>127</v>
      </c>
      <c r="B362" s="1">
        <v>0</v>
      </c>
      <c r="C362" s="1">
        <v>0</v>
      </c>
      <c r="D362" s="1">
        <v>0</v>
      </c>
      <c r="E362" s="1">
        <v>0</v>
      </c>
      <c r="F362" s="1">
        <v>0</v>
      </c>
    </row>
    <row r="363" spans="1:6" ht="18" customHeight="1">
      <c r="A363" s="3" t="s">
        <v>128</v>
      </c>
      <c r="B363" s="3">
        <v>1567429</v>
      </c>
      <c r="C363" s="3">
        <v>0</v>
      </c>
      <c r="D363" s="3">
        <v>0</v>
      </c>
      <c r="E363" s="3">
        <v>0</v>
      </c>
      <c r="F363" s="3">
        <v>0</v>
      </c>
    </row>
    <row r="364" ht="18" customHeight="1">
      <c r="A364" s="3"/>
    </row>
    <row r="365" spans="1:6" ht="18" customHeight="1">
      <c r="A365" s="3" t="s">
        <v>129</v>
      </c>
      <c r="B365" s="3">
        <v>149486</v>
      </c>
      <c r="C365" s="3">
        <v>0</v>
      </c>
      <c r="D365" s="3">
        <v>0</v>
      </c>
      <c r="E365" s="3">
        <v>0</v>
      </c>
      <c r="F365" s="3">
        <v>0</v>
      </c>
    </row>
    <row r="366" ht="18" customHeight="1">
      <c r="A366" s="3"/>
    </row>
    <row r="367" spans="1:6" ht="18" customHeight="1">
      <c r="A367" s="3" t="s">
        <v>130</v>
      </c>
      <c r="B367" s="3">
        <v>518934</v>
      </c>
      <c r="C367" s="3">
        <v>0</v>
      </c>
      <c r="D367" s="3">
        <v>0</v>
      </c>
      <c r="E367" s="3">
        <v>0</v>
      </c>
      <c r="F367" s="3">
        <v>0</v>
      </c>
    </row>
    <row r="368" ht="18" customHeight="1">
      <c r="A368" s="3"/>
    </row>
    <row r="369" spans="1:6" ht="18" customHeight="1">
      <c r="A369" s="3" t="s">
        <v>132</v>
      </c>
      <c r="B369" s="3">
        <v>668420</v>
      </c>
      <c r="C369" s="3">
        <v>0</v>
      </c>
      <c r="D369" s="3">
        <v>0</v>
      </c>
      <c r="E369" s="3">
        <v>0</v>
      </c>
      <c r="F369" s="3">
        <v>0</v>
      </c>
    </row>
    <row r="370" spans="1:6" ht="18" customHeight="1">
      <c r="A370" s="3"/>
      <c r="B370" s="3"/>
      <c r="C370" s="3"/>
      <c r="D370" s="3"/>
      <c r="E370" s="3"/>
      <c r="F370" s="3"/>
    </row>
    <row r="372" ht="20.25" customHeight="1">
      <c r="A372" s="2" t="s">
        <v>0</v>
      </c>
    </row>
    <row r="373" ht="18" customHeight="1">
      <c r="A373" s="3" t="s">
        <v>205</v>
      </c>
    </row>
    <row r="374" ht="18" customHeight="1">
      <c r="A374" s="3" t="s">
        <v>206</v>
      </c>
    </row>
    <row r="375" spans="2:6" ht="18" customHeight="1">
      <c r="B375" s="4" t="s">
        <v>191</v>
      </c>
      <c r="C375" s="4" t="s">
        <v>193</v>
      </c>
      <c r="D375" s="4" t="s">
        <v>208</v>
      </c>
      <c r="E375" s="4" t="s">
        <v>207</v>
      </c>
      <c r="F375" s="4" t="s">
        <v>209</v>
      </c>
    </row>
    <row r="376" spans="1:6" ht="18" customHeight="1">
      <c r="A376" s="4" t="s">
        <v>156</v>
      </c>
      <c r="B376" s="4"/>
      <c r="C376" s="4"/>
      <c r="D376" s="4"/>
      <c r="E376" s="4" t="s">
        <v>192</v>
      </c>
      <c r="F376" s="4"/>
    </row>
    <row r="377" ht="18" customHeight="1">
      <c r="A377" s="3" t="s">
        <v>2</v>
      </c>
    </row>
    <row r="378" ht="18" customHeight="1">
      <c r="A378" s="3" t="s">
        <v>3</v>
      </c>
    </row>
    <row r="379" ht="18" customHeight="1">
      <c r="A379" s="1" t="s">
        <v>4</v>
      </c>
    </row>
    <row r="380" spans="1:6" ht="18" customHeight="1">
      <c r="A380" s="5" t="s">
        <v>157</v>
      </c>
      <c r="B380" s="1">
        <v>6318211</v>
      </c>
      <c r="C380" s="1">
        <v>6237798</v>
      </c>
      <c r="D380" s="1">
        <v>6219088</v>
      </c>
      <c r="E380" s="1">
        <v>5902516</v>
      </c>
      <c r="F380" s="1">
        <v>9971143</v>
      </c>
    </row>
    <row r="381" spans="1:6" ht="18" customHeight="1">
      <c r="A381" s="5" t="s">
        <v>143</v>
      </c>
      <c r="B381" s="1">
        <v>6318211</v>
      </c>
      <c r="C381" s="1">
        <f aca="true" t="shared" si="0" ref="C381:E382">C380</f>
        <v>6237798</v>
      </c>
      <c r="D381" s="1">
        <f t="shared" si="0"/>
        <v>6219088</v>
      </c>
      <c r="E381" s="1">
        <f t="shared" si="0"/>
        <v>5902516</v>
      </c>
      <c r="F381" s="1">
        <f>F380</f>
        <v>9971143</v>
      </c>
    </row>
    <row r="382" spans="1:6" ht="18" customHeight="1">
      <c r="A382" s="3" t="s">
        <v>138</v>
      </c>
      <c r="B382" s="3">
        <v>6318211</v>
      </c>
      <c r="C382" s="3">
        <f t="shared" si="0"/>
        <v>6237798</v>
      </c>
      <c r="D382" s="3">
        <f t="shared" si="0"/>
        <v>6219088</v>
      </c>
      <c r="E382" s="3">
        <f t="shared" si="0"/>
        <v>5902516</v>
      </c>
      <c r="F382" s="3">
        <f>F381</f>
        <v>9971143</v>
      </c>
    </row>
    <row r="385" spans="1:6" ht="18" customHeight="1">
      <c r="A385" s="1" t="s">
        <v>158</v>
      </c>
      <c r="B385" s="1">
        <v>2708095</v>
      </c>
      <c r="C385" s="1">
        <v>2577813</v>
      </c>
      <c r="D385" s="1">
        <v>2139446</v>
      </c>
      <c r="E385" s="1">
        <v>2182394</v>
      </c>
      <c r="F385" s="1">
        <v>4113643</v>
      </c>
    </row>
    <row r="386" spans="1:6" ht="18" customHeight="1">
      <c r="A386" s="1" t="s">
        <v>159</v>
      </c>
      <c r="B386" s="1">
        <v>3470000</v>
      </c>
      <c r="C386" s="1">
        <v>3585000</v>
      </c>
      <c r="D386" s="1">
        <v>3750000</v>
      </c>
      <c r="E386" s="1">
        <v>3700000</v>
      </c>
      <c r="F386" s="1">
        <v>5855000</v>
      </c>
    </row>
    <row r="387" spans="1:6" ht="18" customHeight="1">
      <c r="A387" s="1" t="s">
        <v>160</v>
      </c>
      <c r="B387" s="1">
        <v>2500</v>
      </c>
      <c r="C387" s="1">
        <v>2500</v>
      </c>
      <c r="D387" s="1">
        <f>279260+2500</f>
        <v>281760</v>
      </c>
      <c r="E387" s="1">
        <v>20122</v>
      </c>
      <c r="F387" s="1">
        <v>2500</v>
      </c>
    </row>
    <row r="388" spans="1:6" ht="18" customHeight="1">
      <c r="A388" s="3" t="s">
        <v>140</v>
      </c>
      <c r="B388" s="3">
        <v>6180595</v>
      </c>
      <c r="C388" s="3">
        <f>SUM(C385:C387)</f>
        <v>6165313</v>
      </c>
      <c r="D388" s="3">
        <f>SUM(D385:D387)</f>
        <v>6171206</v>
      </c>
      <c r="E388" s="3">
        <f>SUM(E385:E387)</f>
        <v>5902516</v>
      </c>
      <c r="F388" s="3">
        <f>SUM(F385:F387)</f>
        <v>9971143</v>
      </c>
    </row>
    <row r="390" spans="1:6" ht="18" customHeight="1">
      <c r="A390" s="3" t="s">
        <v>129</v>
      </c>
      <c r="B390" s="3">
        <v>149486</v>
      </c>
      <c r="C390" s="3">
        <f>C382-C388</f>
        <v>72485</v>
      </c>
      <c r="D390" s="3">
        <f>D382-D388</f>
        <v>47882</v>
      </c>
      <c r="E390" s="3">
        <f>E382-E388</f>
        <v>0</v>
      </c>
      <c r="F390" s="3">
        <f>F382-F388</f>
        <v>0</v>
      </c>
    </row>
    <row r="391" ht="18" customHeight="1">
      <c r="A391" s="3"/>
    </row>
    <row r="392" spans="1:6" ht="18" customHeight="1">
      <c r="A392" s="3" t="s">
        <v>130</v>
      </c>
      <c r="B392" s="3">
        <v>2493324</v>
      </c>
      <c r="C392" s="3">
        <v>2630940</v>
      </c>
      <c r="D392" s="3">
        <v>2703425</v>
      </c>
      <c r="E392" s="3">
        <f>+D395</f>
        <v>3030567</v>
      </c>
      <c r="F392" s="3">
        <f>+E395</f>
        <v>3030567</v>
      </c>
    </row>
    <row r="393" spans="1:6" ht="18" customHeight="1">
      <c r="A393" s="3" t="s">
        <v>213</v>
      </c>
      <c r="B393" s="3">
        <v>0</v>
      </c>
      <c r="C393" s="3">
        <v>0</v>
      </c>
      <c r="D393" s="3">
        <v>279260</v>
      </c>
      <c r="E393" s="3">
        <v>0</v>
      </c>
      <c r="F393" s="3">
        <v>0</v>
      </c>
    </row>
    <row r="394" ht="18" customHeight="1">
      <c r="A394" s="3"/>
    </row>
    <row r="395" spans="1:6" ht="18" customHeight="1">
      <c r="A395" s="3" t="s">
        <v>132</v>
      </c>
      <c r="B395" s="3">
        <v>2630940</v>
      </c>
      <c r="C395" s="3">
        <f>C390+C392</f>
        <v>2703425</v>
      </c>
      <c r="D395" s="3">
        <f>+D390+D392+D393</f>
        <v>3030567</v>
      </c>
      <c r="E395" s="3">
        <f>E390+E392</f>
        <v>3030567</v>
      </c>
      <c r="F395" s="3">
        <f>F390+F392</f>
        <v>3030567</v>
      </c>
    </row>
    <row r="398" ht="20.25" customHeight="1">
      <c r="A398" s="2" t="s">
        <v>0</v>
      </c>
    </row>
    <row r="399" ht="18" customHeight="1">
      <c r="A399" s="3" t="s">
        <v>205</v>
      </c>
    </row>
    <row r="400" ht="18" customHeight="1">
      <c r="A400" s="3" t="s">
        <v>206</v>
      </c>
    </row>
    <row r="401" spans="2:6" ht="18" customHeight="1">
      <c r="B401" s="4" t="s">
        <v>191</v>
      </c>
      <c r="C401" s="4" t="s">
        <v>193</v>
      </c>
      <c r="D401" s="4" t="s">
        <v>208</v>
      </c>
      <c r="E401" s="4" t="s">
        <v>207</v>
      </c>
      <c r="F401" s="4" t="s">
        <v>209</v>
      </c>
    </row>
    <row r="402" spans="1:6" ht="18" customHeight="1">
      <c r="A402" s="4" t="s">
        <v>161</v>
      </c>
      <c r="B402" s="4"/>
      <c r="C402" s="4"/>
      <c r="D402" s="4"/>
      <c r="E402" s="4" t="s">
        <v>192</v>
      </c>
      <c r="F402" s="4"/>
    </row>
    <row r="403" ht="18" customHeight="1">
      <c r="A403" s="3" t="s">
        <v>2</v>
      </c>
    </row>
    <row r="404" ht="18" customHeight="1">
      <c r="A404" s="3" t="s">
        <v>3</v>
      </c>
    </row>
    <row r="405" ht="18" customHeight="1">
      <c r="A405" s="1" t="s">
        <v>4</v>
      </c>
    </row>
    <row r="406" spans="1:6" ht="18" customHeight="1">
      <c r="A406" s="1" t="s">
        <v>162</v>
      </c>
      <c r="B406" s="1">
        <v>5065232</v>
      </c>
      <c r="C406" s="1">
        <f>4697288+437174+300374</f>
        <v>5434836</v>
      </c>
      <c r="D406" s="1">
        <f>4918951+310521+331949</f>
        <v>5561421</v>
      </c>
      <c r="E406" s="1">
        <v>5752164</v>
      </c>
      <c r="F406" s="1">
        <f>5239297+210035+270045</f>
        <v>5719377</v>
      </c>
    </row>
    <row r="407" spans="1:6" ht="18" customHeight="1">
      <c r="A407" s="5" t="s">
        <v>163</v>
      </c>
      <c r="B407" s="1">
        <v>0</v>
      </c>
      <c r="C407" s="1">
        <v>0</v>
      </c>
      <c r="D407" s="1">
        <v>0</v>
      </c>
      <c r="E407" s="1">
        <v>0</v>
      </c>
      <c r="F407" s="1">
        <v>0</v>
      </c>
    </row>
    <row r="408" spans="1:6" ht="18" customHeight="1">
      <c r="A408" s="5" t="s">
        <v>143</v>
      </c>
      <c r="B408" s="1">
        <v>5065232</v>
      </c>
      <c r="C408" s="1">
        <f>C406</f>
        <v>5434836</v>
      </c>
      <c r="D408" s="1">
        <f>D406</f>
        <v>5561421</v>
      </c>
      <c r="E408" s="1">
        <f>E406</f>
        <v>5752164</v>
      </c>
      <c r="F408" s="1">
        <f>F406</f>
        <v>5719377</v>
      </c>
    </row>
    <row r="410" spans="1:6" ht="18" customHeight="1">
      <c r="A410" s="5" t="s">
        <v>134</v>
      </c>
      <c r="B410" s="1">
        <v>9401</v>
      </c>
      <c r="C410" s="1">
        <v>4701</v>
      </c>
      <c r="D410" s="1">
        <v>0</v>
      </c>
      <c r="E410" s="1">
        <v>0</v>
      </c>
      <c r="F410" s="1">
        <v>250000</v>
      </c>
    </row>
    <row r="411" spans="1:6" ht="18" customHeight="1">
      <c r="A411" s="5" t="s">
        <v>146</v>
      </c>
      <c r="B411" s="1">
        <v>0</v>
      </c>
      <c r="C411" s="1">
        <v>1020611</v>
      </c>
      <c r="D411" s="1">
        <v>2957479</v>
      </c>
      <c r="E411" s="1">
        <v>0</v>
      </c>
      <c r="F411" s="1">
        <v>575000</v>
      </c>
    </row>
    <row r="412" spans="1:6" ht="18" customHeight="1">
      <c r="A412" s="5" t="s">
        <v>15</v>
      </c>
      <c r="B412" s="1">
        <v>9401</v>
      </c>
      <c r="C412" s="1">
        <f>C410+C411</f>
        <v>1025312</v>
      </c>
      <c r="D412" s="1">
        <f>D410+D411</f>
        <v>2957479</v>
      </c>
      <c r="E412" s="1">
        <f>E410+E411</f>
        <v>0</v>
      </c>
      <c r="F412" s="1">
        <f>F410+F411</f>
        <v>825000</v>
      </c>
    </row>
    <row r="413" spans="1:6" ht="18" customHeight="1">
      <c r="A413" s="3" t="s">
        <v>16</v>
      </c>
      <c r="B413" s="3">
        <v>5074633</v>
      </c>
      <c r="C413" s="3">
        <f>C408+C412</f>
        <v>6460148</v>
      </c>
      <c r="D413" s="3">
        <f>D408+D412</f>
        <v>8518900</v>
      </c>
      <c r="E413" s="3">
        <f>E408+E412</f>
        <v>5752164</v>
      </c>
      <c r="F413" s="3">
        <f>F408+F412</f>
        <v>6544377</v>
      </c>
    </row>
    <row r="414" spans="1:6" ht="18" customHeight="1">
      <c r="A414" s="5"/>
      <c r="B414" s="6"/>
      <c r="C414" s="6"/>
      <c r="D414" s="6"/>
      <c r="E414" s="6"/>
      <c r="F414" s="6"/>
    </row>
    <row r="415" spans="1:6" ht="18" customHeight="1">
      <c r="A415" s="3" t="s">
        <v>17</v>
      </c>
      <c r="B415" s="6"/>
      <c r="C415" s="6"/>
      <c r="D415" s="6"/>
      <c r="E415" s="6"/>
      <c r="F415" s="6"/>
    </row>
    <row r="416" spans="1:6" ht="18" customHeight="1">
      <c r="A416" s="5" t="s">
        <v>164</v>
      </c>
      <c r="B416" s="1">
        <v>0</v>
      </c>
      <c r="C416" s="1">
        <v>0</v>
      </c>
      <c r="D416" s="1">
        <v>0</v>
      </c>
      <c r="E416" s="1">
        <v>0</v>
      </c>
      <c r="F416" s="1">
        <v>0</v>
      </c>
    </row>
    <row r="417" spans="1:6" ht="18" customHeight="1">
      <c r="A417" s="3" t="s">
        <v>50</v>
      </c>
      <c r="B417" s="3">
        <v>0</v>
      </c>
      <c r="C417" s="3">
        <v>0</v>
      </c>
      <c r="D417" s="3">
        <v>0</v>
      </c>
      <c r="E417" s="3">
        <v>0</v>
      </c>
      <c r="F417" s="3">
        <v>0</v>
      </c>
    </row>
    <row r="418" spans="1:6" ht="18" customHeight="1">
      <c r="A418" s="3"/>
      <c r="B418" s="3"/>
      <c r="C418" s="3"/>
      <c r="D418" s="3"/>
      <c r="E418" s="3"/>
      <c r="F418" s="3"/>
    </row>
    <row r="419" spans="1:6" ht="18" customHeight="1">
      <c r="A419" s="3" t="s">
        <v>61</v>
      </c>
      <c r="B419" s="3">
        <v>5074633</v>
      </c>
      <c r="C419" s="3">
        <f>C413+C417</f>
        <v>6460148</v>
      </c>
      <c r="D419" s="3">
        <f>D413+D417</f>
        <v>8518900</v>
      </c>
      <c r="E419" s="3">
        <f>E413+E417</f>
        <v>5752164</v>
      </c>
      <c r="F419" s="3">
        <f>F413+F417</f>
        <v>6544377</v>
      </c>
    </row>
    <row r="420" spans="1:6" ht="18" customHeight="1">
      <c r="A420" s="5"/>
      <c r="B420" s="6"/>
      <c r="C420" s="6"/>
      <c r="D420" s="6"/>
      <c r="E420" s="6"/>
      <c r="F420" s="6"/>
    </row>
    <row r="421" spans="1:6" ht="18" customHeight="1">
      <c r="A421" s="5"/>
      <c r="B421" s="6"/>
      <c r="C421" s="6"/>
      <c r="D421" s="6"/>
      <c r="E421" s="6"/>
      <c r="F421" s="6"/>
    </row>
    <row r="422" spans="1:6" ht="18" customHeight="1">
      <c r="A422" s="3" t="s">
        <v>62</v>
      </c>
      <c r="B422" s="6"/>
      <c r="C422" s="6"/>
      <c r="D422" s="6"/>
      <c r="E422" s="6"/>
      <c r="F422" s="6"/>
    </row>
    <row r="423" spans="1:6" ht="18" customHeight="1">
      <c r="A423" s="3" t="s">
        <v>165</v>
      </c>
      <c r="B423" s="6"/>
      <c r="C423" s="6"/>
      <c r="D423" s="6"/>
      <c r="E423" s="6"/>
      <c r="F423" s="6"/>
    </row>
    <row r="424" spans="1:6" ht="18" customHeight="1">
      <c r="A424" s="5" t="s">
        <v>151</v>
      </c>
      <c r="B424" s="1">
        <v>17688</v>
      </c>
      <c r="C424" s="1">
        <v>17688</v>
      </c>
      <c r="D424" s="1">
        <v>17688</v>
      </c>
      <c r="E424" s="1">
        <v>18042</v>
      </c>
      <c r="F424" s="1">
        <v>18307</v>
      </c>
    </row>
    <row r="425" spans="1:6" ht="18" customHeight="1">
      <c r="A425" s="3" t="s">
        <v>68</v>
      </c>
      <c r="B425" s="3">
        <v>17688</v>
      </c>
      <c r="C425" s="3">
        <f>C424</f>
        <v>17688</v>
      </c>
      <c r="D425" s="3">
        <f>D424</f>
        <v>17688</v>
      </c>
      <c r="E425" s="3">
        <f>E424</f>
        <v>18042</v>
      </c>
      <c r="F425" s="3">
        <f>F424</f>
        <v>18307</v>
      </c>
    </row>
    <row r="426" spans="1:6" ht="18" customHeight="1">
      <c r="A426" s="5" t="s">
        <v>73</v>
      </c>
      <c r="B426" s="1">
        <v>14550</v>
      </c>
      <c r="C426" s="1">
        <v>97543</v>
      </c>
      <c r="D426" s="1">
        <v>11627</v>
      </c>
      <c r="E426" s="1">
        <v>12500</v>
      </c>
      <c r="F426" s="1">
        <v>25000</v>
      </c>
    </row>
    <row r="427" spans="1:6" ht="18" customHeight="1">
      <c r="A427" s="5" t="s">
        <v>99</v>
      </c>
      <c r="B427" s="1">
        <v>0</v>
      </c>
      <c r="C427" s="1">
        <v>0</v>
      </c>
      <c r="D427" s="1">
        <v>0</v>
      </c>
      <c r="E427" s="1">
        <v>0</v>
      </c>
      <c r="F427" s="1">
        <v>0</v>
      </c>
    </row>
    <row r="428" spans="1:6" ht="18" customHeight="1">
      <c r="A428" s="5" t="s">
        <v>74</v>
      </c>
      <c r="B428" s="1">
        <v>85044</v>
      </c>
      <c r="C428" s="1">
        <f>10814+68334</f>
        <v>79148</v>
      </c>
      <c r="D428" s="1">
        <f>15407+71093</f>
        <v>86500</v>
      </c>
      <c r="E428" s="1">
        <f>15000+72750</f>
        <v>87750</v>
      </c>
      <c r="F428" s="1">
        <f>15750+64500</f>
        <v>80250</v>
      </c>
    </row>
    <row r="429" spans="1:6" ht="18" customHeight="1">
      <c r="A429" s="5" t="s">
        <v>76</v>
      </c>
      <c r="B429" s="1">
        <v>502461</v>
      </c>
      <c r="C429" s="1">
        <f>631149+132930</f>
        <v>764079</v>
      </c>
      <c r="D429" s="1">
        <f>879847+260652</f>
        <v>1140499</v>
      </c>
      <c r="E429" s="1">
        <f>16901+16107+14343+17498+125000+125000+78500+450000+182500+5000</f>
        <v>1030849</v>
      </c>
      <c r="F429" s="1">
        <f>1222500+192937</f>
        <v>1415437</v>
      </c>
    </row>
    <row r="430" spans="1:6" ht="18" customHeight="1">
      <c r="A430" s="5" t="s">
        <v>78</v>
      </c>
      <c r="B430" s="1">
        <v>1201762</v>
      </c>
      <c r="C430" s="1">
        <f>2342029+31584+56364</f>
        <v>2429977</v>
      </c>
      <c r="D430" s="1">
        <f>3001247+12536</f>
        <v>3013783</v>
      </c>
      <c r="E430" s="1">
        <f>2994125+35000+32500</f>
        <v>3061625</v>
      </c>
      <c r="F430" s="1">
        <f>2360000+35000+32500</f>
        <v>2427500</v>
      </c>
    </row>
    <row r="431" spans="1:6" ht="18" customHeight="1">
      <c r="A431" s="5" t="s">
        <v>111</v>
      </c>
      <c r="B431" s="1">
        <v>391608</v>
      </c>
      <c r="C431" s="1">
        <v>406643</v>
      </c>
      <c r="D431" s="1">
        <v>404118</v>
      </c>
      <c r="E431" s="1">
        <v>277948</v>
      </c>
      <c r="F431" s="1">
        <v>276350</v>
      </c>
    </row>
    <row r="432" spans="1:6" ht="18" customHeight="1">
      <c r="A432" s="5" t="s">
        <v>79</v>
      </c>
      <c r="B432" s="1">
        <v>0</v>
      </c>
      <c r="C432" s="1">
        <v>0</v>
      </c>
      <c r="D432" s="1">
        <v>0</v>
      </c>
      <c r="E432" s="1">
        <v>0</v>
      </c>
      <c r="F432" s="1">
        <v>0</v>
      </c>
    </row>
    <row r="433" spans="1:6" ht="18" customHeight="1">
      <c r="A433" s="3" t="s">
        <v>166</v>
      </c>
      <c r="B433" s="3">
        <v>2213113</v>
      </c>
      <c r="C433" s="3">
        <f>SUM(C425:C432)</f>
        <v>3795078</v>
      </c>
      <c r="D433" s="3">
        <f>SUM(D425:D432)</f>
        <v>4674215</v>
      </c>
      <c r="E433" s="3">
        <f>SUM(E425:E432)</f>
        <v>4488714</v>
      </c>
      <c r="F433" s="3">
        <f>SUM(F425:F432)</f>
        <v>4242844</v>
      </c>
    </row>
    <row r="434" spans="1:6" ht="18" customHeight="1">
      <c r="A434" s="5"/>
      <c r="B434" s="6"/>
      <c r="C434" s="6"/>
      <c r="D434" s="6"/>
      <c r="E434" s="6"/>
      <c r="F434" s="6"/>
    </row>
    <row r="435" spans="1:6" ht="18" customHeight="1">
      <c r="A435" s="3" t="s">
        <v>167</v>
      </c>
      <c r="B435" s="6"/>
      <c r="C435" s="6"/>
      <c r="D435" s="6"/>
      <c r="E435" s="6"/>
      <c r="F435" s="6"/>
    </row>
    <row r="436" spans="1:6" ht="18" customHeight="1">
      <c r="A436" s="5" t="s">
        <v>151</v>
      </c>
      <c r="B436" s="1">
        <v>44592</v>
      </c>
      <c r="C436" s="1">
        <v>44616</v>
      </c>
      <c r="D436" s="1">
        <v>46974</v>
      </c>
      <c r="E436" s="1">
        <v>49182</v>
      </c>
      <c r="F436" s="1">
        <v>0</v>
      </c>
    </row>
    <row r="437" spans="1:6" ht="18" customHeight="1">
      <c r="A437" s="3" t="s">
        <v>68</v>
      </c>
      <c r="B437" s="3">
        <v>44592</v>
      </c>
      <c r="C437" s="3">
        <f>+C436</f>
        <v>44616</v>
      </c>
      <c r="D437" s="3">
        <f>+D436</f>
        <v>46974</v>
      </c>
      <c r="E437" s="3">
        <f>+E436</f>
        <v>49182</v>
      </c>
      <c r="F437" s="3">
        <f>+F436</f>
        <v>0</v>
      </c>
    </row>
    <row r="438" spans="1:6" ht="18" customHeight="1">
      <c r="A438" s="5" t="s">
        <v>73</v>
      </c>
      <c r="B438" s="1">
        <v>0</v>
      </c>
      <c r="C438" s="1">
        <v>0</v>
      </c>
      <c r="D438" s="1">
        <v>0</v>
      </c>
      <c r="E438" s="1">
        <v>0</v>
      </c>
      <c r="F438" s="1">
        <v>0</v>
      </c>
    </row>
    <row r="439" spans="1:6" ht="18" customHeight="1">
      <c r="A439" s="5" t="s">
        <v>99</v>
      </c>
      <c r="B439" s="1">
        <v>0</v>
      </c>
      <c r="C439" s="1">
        <v>0</v>
      </c>
      <c r="D439" s="1">
        <v>0</v>
      </c>
      <c r="E439" s="1">
        <v>0</v>
      </c>
      <c r="F439" s="1">
        <v>0</v>
      </c>
    </row>
    <row r="440" spans="1:6" ht="18" customHeight="1">
      <c r="A440" s="5" t="s">
        <v>74</v>
      </c>
      <c r="B440" s="1">
        <v>0</v>
      </c>
      <c r="C440" s="1">
        <v>0</v>
      </c>
      <c r="D440" s="1">
        <v>0</v>
      </c>
      <c r="E440" s="1">
        <v>0</v>
      </c>
      <c r="F440" s="1">
        <v>0</v>
      </c>
    </row>
    <row r="441" spans="1:6" ht="18" customHeight="1">
      <c r="A441" s="5" t="s">
        <v>76</v>
      </c>
      <c r="B441" s="1">
        <v>0</v>
      </c>
      <c r="C441" s="1">
        <v>0</v>
      </c>
      <c r="D441" s="1">
        <v>0</v>
      </c>
      <c r="E441" s="1">
        <v>0</v>
      </c>
      <c r="F441" s="1">
        <v>0</v>
      </c>
    </row>
    <row r="442" spans="1:6" ht="18" customHeight="1">
      <c r="A442" s="5" t="s">
        <v>168</v>
      </c>
      <c r="B442" s="1">
        <v>553501</v>
      </c>
      <c r="C442" s="1">
        <v>2908252</v>
      </c>
      <c r="D442" s="1">
        <v>737805</v>
      </c>
      <c r="E442" s="1">
        <v>700000</v>
      </c>
      <c r="F442" s="1">
        <v>0</v>
      </c>
    </row>
    <row r="443" spans="1:6" ht="18" customHeight="1">
      <c r="A443" s="5" t="s">
        <v>169</v>
      </c>
      <c r="B443" s="1">
        <v>1406599</v>
      </c>
      <c r="C443" s="1">
        <f>2399327+31179</f>
        <v>2430506</v>
      </c>
      <c r="D443" s="1">
        <f>2182721+24047+37158</f>
        <v>2243926</v>
      </c>
      <c r="E443" s="1">
        <f>13216576+35000</f>
        <v>13251576</v>
      </c>
      <c r="F443" s="1">
        <f>49910538+35000</f>
        <v>49945538</v>
      </c>
    </row>
    <row r="444" spans="1:6" ht="18" customHeight="1">
      <c r="A444" s="5" t="s">
        <v>79</v>
      </c>
      <c r="B444" s="1">
        <v>0</v>
      </c>
      <c r="C444" s="1">
        <v>0</v>
      </c>
      <c r="D444" s="1">
        <v>0</v>
      </c>
      <c r="E444" s="1">
        <v>0</v>
      </c>
      <c r="F444" s="1">
        <v>0</v>
      </c>
    </row>
    <row r="445" spans="1:6" ht="18" customHeight="1">
      <c r="A445" s="3" t="s">
        <v>170</v>
      </c>
      <c r="B445" s="3">
        <v>2004692</v>
      </c>
      <c r="C445" s="3">
        <f>SUM(C437:C444)</f>
        <v>5383374</v>
      </c>
      <c r="D445" s="3">
        <f>SUM(D437:D444)</f>
        <v>3028705</v>
      </c>
      <c r="E445" s="3">
        <f>SUM(E437:E444)</f>
        <v>14000758</v>
      </c>
      <c r="F445" s="3">
        <f>SUM(F437:F444)</f>
        <v>49945538</v>
      </c>
    </row>
    <row r="446" spans="1:6" ht="18" customHeight="1">
      <c r="A446" s="3"/>
      <c r="B446" s="3"/>
      <c r="C446" s="3"/>
      <c r="D446" s="3"/>
      <c r="E446" s="3"/>
      <c r="F446" s="3"/>
    </row>
    <row r="447" spans="1:6" ht="18" customHeight="1">
      <c r="A447" s="3" t="s">
        <v>202</v>
      </c>
      <c r="B447" s="3">
        <f>+B445+B433</f>
        <v>4217805</v>
      </c>
      <c r="C447" s="3">
        <f>+C445+C433</f>
        <v>9178452</v>
      </c>
      <c r="D447" s="3">
        <f>+D445+D433</f>
        <v>7702920</v>
      </c>
      <c r="E447" s="3">
        <f>+E445+E433</f>
        <v>18489472</v>
      </c>
      <c r="F447" s="3">
        <f>+F445+F433</f>
        <v>54188382</v>
      </c>
    </row>
    <row r="448" spans="1:6" ht="18" customHeight="1">
      <c r="A448" s="3"/>
      <c r="B448" s="3"/>
      <c r="C448" s="3"/>
      <c r="D448" s="3"/>
      <c r="E448" s="3"/>
      <c r="F448" s="3"/>
    </row>
    <row r="449" spans="1:6" ht="18" customHeight="1">
      <c r="A449" s="5"/>
      <c r="B449" s="6"/>
      <c r="C449" s="6"/>
      <c r="D449" s="6"/>
      <c r="E449" s="6"/>
      <c r="F449" s="6"/>
    </row>
    <row r="450" ht="18" customHeight="1">
      <c r="A450" s="3" t="s">
        <v>171</v>
      </c>
    </row>
    <row r="451" ht="18" customHeight="1">
      <c r="A451" s="3" t="s">
        <v>115</v>
      </c>
    </row>
    <row r="452" spans="1:6" ht="18" customHeight="1">
      <c r="A452" s="5" t="s">
        <v>116</v>
      </c>
      <c r="B452" s="1">
        <v>5074633</v>
      </c>
      <c r="C452" s="1">
        <f>C413</f>
        <v>6460148</v>
      </c>
      <c r="D452" s="1">
        <f>D413</f>
        <v>8518900</v>
      </c>
      <c r="E452" s="1">
        <f>E413</f>
        <v>5752164</v>
      </c>
      <c r="F452" s="1">
        <f>F413</f>
        <v>6544377</v>
      </c>
    </row>
    <row r="453" spans="1:6" ht="18" customHeight="1">
      <c r="A453" s="5" t="s">
        <v>117</v>
      </c>
      <c r="B453" s="1">
        <v>0</v>
      </c>
      <c r="C453" s="1">
        <v>0</v>
      </c>
      <c r="D453" s="1">
        <v>0</v>
      </c>
      <c r="E453" s="1">
        <v>0</v>
      </c>
      <c r="F453" s="1">
        <v>0</v>
      </c>
    </row>
    <row r="454" spans="1:6" ht="18" customHeight="1">
      <c r="A454" s="3" t="s">
        <v>61</v>
      </c>
      <c r="B454" s="3">
        <v>5074633</v>
      </c>
      <c r="C454" s="3">
        <f>C452+C453</f>
        <v>6460148</v>
      </c>
      <c r="D454" s="3">
        <f>D452+D453</f>
        <v>8518900</v>
      </c>
      <c r="E454" s="3">
        <f>E452+E453</f>
        <v>5752164</v>
      </c>
      <c r="F454" s="3">
        <f>F452+F453</f>
        <v>6544377</v>
      </c>
    </row>
    <row r="455" ht="18" customHeight="1">
      <c r="A455" s="3"/>
    </row>
    <row r="456" ht="18" customHeight="1">
      <c r="A456" s="3" t="s">
        <v>119</v>
      </c>
    </row>
    <row r="457" spans="1:6" ht="18" customHeight="1">
      <c r="A457" s="5" t="s">
        <v>120</v>
      </c>
      <c r="B457" s="1">
        <v>62280</v>
      </c>
      <c r="C457" s="1">
        <v>62304</v>
      </c>
      <c r="D457" s="1">
        <f>D424+D436</f>
        <v>64662</v>
      </c>
      <c r="E457" s="1">
        <f>E424+E436</f>
        <v>67224</v>
      </c>
      <c r="F457" s="1">
        <f>F424+F436</f>
        <v>18307</v>
      </c>
    </row>
    <row r="458" spans="1:6" ht="18" customHeight="1">
      <c r="A458" s="5" t="s">
        <v>122</v>
      </c>
      <c r="B458" s="1">
        <v>14550</v>
      </c>
      <c r="C458" s="1">
        <v>97543</v>
      </c>
      <c r="D458" s="1">
        <f aca="true" t="shared" si="1" ref="D458:E461">D426+D438</f>
        <v>11627</v>
      </c>
      <c r="E458" s="1">
        <f t="shared" si="1"/>
        <v>12500</v>
      </c>
      <c r="F458" s="1">
        <f>F426+F438</f>
        <v>25000</v>
      </c>
    </row>
    <row r="459" spans="1:6" ht="18" customHeight="1">
      <c r="A459" s="5" t="s">
        <v>123</v>
      </c>
      <c r="B459" s="1">
        <v>0</v>
      </c>
      <c r="C459" s="1">
        <v>0</v>
      </c>
      <c r="D459" s="1">
        <f t="shared" si="1"/>
        <v>0</v>
      </c>
      <c r="E459" s="1">
        <f t="shared" si="1"/>
        <v>0</v>
      </c>
      <c r="F459" s="1">
        <f>F427+F439</f>
        <v>0</v>
      </c>
    </row>
    <row r="460" spans="1:6" ht="18" customHeight="1">
      <c r="A460" s="5" t="s">
        <v>124</v>
      </c>
      <c r="B460" s="1">
        <v>85044</v>
      </c>
      <c r="C460" s="1">
        <v>79148</v>
      </c>
      <c r="D460" s="1">
        <f t="shared" si="1"/>
        <v>86500</v>
      </c>
      <c r="E460" s="1">
        <f t="shared" si="1"/>
        <v>87750</v>
      </c>
      <c r="F460" s="1">
        <f>F428+F440</f>
        <v>80250</v>
      </c>
    </row>
    <row r="461" spans="1:6" ht="18" customHeight="1">
      <c r="A461" s="5" t="s">
        <v>125</v>
      </c>
      <c r="B461" s="1">
        <v>502461</v>
      </c>
      <c r="C461" s="1">
        <v>764079</v>
      </c>
      <c r="D461" s="1">
        <f t="shared" si="1"/>
        <v>1140499</v>
      </c>
      <c r="E461" s="1">
        <f t="shared" si="1"/>
        <v>1030849</v>
      </c>
      <c r="F461" s="1">
        <f>F429+F441</f>
        <v>1415437</v>
      </c>
    </row>
    <row r="462" spans="1:6" ht="18" customHeight="1">
      <c r="A462" s="5" t="s">
        <v>126</v>
      </c>
      <c r="B462" s="1">
        <v>3553470</v>
      </c>
      <c r="C462" s="1">
        <v>8175378</v>
      </c>
      <c r="D462" s="1">
        <f>+D430+D431+D442+D443</f>
        <v>6399632</v>
      </c>
      <c r="E462" s="1">
        <f>+E430+E431+E442+E443</f>
        <v>17291149</v>
      </c>
      <c r="F462" s="1">
        <f>+F430+F431+F442+F443</f>
        <v>52649388</v>
      </c>
    </row>
    <row r="463" spans="1:6" ht="18" customHeight="1">
      <c r="A463" s="5" t="s">
        <v>127</v>
      </c>
      <c r="B463" s="1">
        <v>0</v>
      </c>
      <c r="C463" s="1">
        <v>0</v>
      </c>
      <c r="D463" s="1">
        <f>D432+D444</f>
        <v>0</v>
      </c>
      <c r="E463" s="1">
        <f>E432+E444</f>
        <v>0</v>
      </c>
      <c r="F463" s="1">
        <f>F432+F444</f>
        <v>0</v>
      </c>
    </row>
    <row r="464" spans="1:6" ht="18" customHeight="1">
      <c r="A464" s="3" t="s">
        <v>128</v>
      </c>
      <c r="B464" s="3">
        <v>4217805</v>
      </c>
      <c r="C464" s="3">
        <f>SUM(C457:C463)</f>
        <v>9178452</v>
      </c>
      <c r="D464" s="3">
        <f>SUM(D457:D463)</f>
        <v>7702920</v>
      </c>
      <c r="E464" s="3">
        <f>SUM(E457:E463)</f>
        <v>18489472</v>
      </c>
      <c r="F464" s="3">
        <f>SUM(F457:F463)</f>
        <v>54188382</v>
      </c>
    </row>
    <row r="465" ht="18" customHeight="1">
      <c r="A465" s="3"/>
    </row>
    <row r="466" spans="1:6" ht="18" customHeight="1">
      <c r="A466" s="3" t="s">
        <v>129</v>
      </c>
      <c r="B466" s="3">
        <v>856828</v>
      </c>
      <c r="C466" s="3">
        <f>C454-C464</f>
        <v>-2718304</v>
      </c>
      <c r="D466" s="3">
        <f>D454-D464</f>
        <v>815980</v>
      </c>
      <c r="E466" s="3">
        <f>E454-E464</f>
        <v>-12737308</v>
      </c>
      <c r="F466" s="3">
        <f>F454-F464</f>
        <v>-47644005</v>
      </c>
    </row>
    <row r="467" ht="18" customHeight="1">
      <c r="A467" s="3"/>
    </row>
    <row r="468" spans="1:6" ht="18" customHeight="1">
      <c r="A468" s="3" t="s">
        <v>130</v>
      </c>
      <c r="B468" s="3">
        <v>5045456</v>
      </c>
      <c r="C468" s="3">
        <v>5902284</v>
      </c>
      <c r="D468" s="3">
        <v>3183980</v>
      </c>
      <c r="E468" s="3">
        <f>+D471</f>
        <v>3999960</v>
      </c>
      <c r="F468" s="3">
        <f>+E471</f>
        <v>54785652</v>
      </c>
    </row>
    <row r="469" spans="1:6" ht="18" customHeight="1">
      <c r="A469" s="3" t="s">
        <v>213</v>
      </c>
      <c r="B469" s="3">
        <v>0</v>
      </c>
      <c r="C469" s="3">
        <v>0</v>
      </c>
      <c r="D469" s="3">
        <v>0</v>
      </c>
      <c r="E469" s="3">
        <v>63523000</v>
      </c>
      <c r="F469" s="3">
        <v>0</v>
      </c>
    </row>
    <row r="470" ht="18" customHeight="1">
      <c r="A470" s="3"/>
    </row>
    <row r="471" spans="1:6" ht="18" customHeight="1">
      <c r="A471" s="3" t="s">
        <v>132</v>
      </c>
      <c r="B471" s="3">
        <v>5902284</v>
      </c>
      <c r="C471" s="3">
        <f>C466+C468</f>
        <v>3183980</v>
      </c>
      <c r="D471" s="3">
        <f>D466+D468</f>
        <v>3999960</v>
      </c>
      <c r="E471" s="3">
        <f>E466+E468+E469</f>
        <v>54785652</v>
      </c>
      <c r="F471" s="3">
        <f>F466+F468</f>
        <v>7141647</v>
      </c>
    </row>
    <row r="474" ht="20.25" customHeight="1">
      <c r="A474" s="2" t="s">
        <v>0</v>
      </c>
    </row>
    <row r="475" ht="18" customHeight="1">
      <c r="A475" s="3" t="s">
        <v>205</v>
      </c>
    </row>
    <row r="476" ht="18" customHeight="1">
      <c r="A476" s="3" t="s">
        <v>206</v>
      </c>
    </row>
    <row r="477" spans="2:6" ht="18" customHeight="1">
      <c r="B477" s="4" t="s">
        <v>191</v>
      </c>
      <c r="C477" s="4" t="s">
        <v>193</v>
      </c>
      <c r="D477" s="4" t="s">
        <v>208</v>
      </c>
      <c r="E477" s="4" t="s">
        <v>207</v>
      </c>
      <c r="F477" s="4" t="s">
        <v>209</v>
      </c>
    </row>
    <row r="478" spans="1:6" ht="18" customHeight="1">
      <c r="A478" s="4" t="s">
        <v>172</v>
      </c>
      <c r="B478" s="4"/>
      <c r="C478" s="4"/>
      <c r="D478" s="4"/>
      <c r="E478" s="4" t="s">
        <v>192</v>
      </c>
      <c r="F478" s="4"/>
    </row>
    <row r="479" ht="18" customHeight="1">
      <c r="A479" s="3" t="s">
        <v>2</v>
      </c>
    </row>
    <row r="480" ht="18" customHeight="1">
      <c r="A480" s="3" t="s">
        <v>3</v>
      </c>
    </row>
    <row r="481" spans="1:6" ht="18" customHeight="1">
      <c r="A481" s="5" t="s">
        <v>173</v>
      </c>
      <c r="B481" s="1">
        <v>650748</v>
      </c>
      <c r="C481" s="1">
        <v>628742</v>
      </c>
      <c r="D481" s="1">
        <v>651315</v>
      </c>
      <c r="E481" s="1">
        <v>761986</v>
      </c>
      <c r="F481" s="1">
        <v>785000</v>
      </c>
    </row>
    <row r="482" spans="1:6" ht="18" customHeight="1">
      <c r="A482" s="3" t="s">
        <v>16</v>
      </c>
      <c r="B482" s="3">
        <v>650748</v>
      </c>
      <c r="C482" s="3">
        <f>C481</f>
        <v>628742</v>
      </c>
      <c r="D482" s="3">
        <f>D481</f>
        <v>651315</v>
      </c>
      <c r="E482" s="3">
        <f>E481</f>
        <v>761986</v>
      </c>
      <c r="F482" s="3">
        <f>F481</f>
        <v>785000</v>
      </c>
    </row>
    <row r="483" spans="1:6" ht="18" customHeight="1">
      <c r="A483" s="5"/>
      <c r="B483" s="6"/>
      <c r="C483" s="6"/>
      <c r="D483" s="6"/>
      <c r="E483" s="6"/>
      <c r="F483" s="6"/>
    </row>
    <row r="484" spans="1:6" ht="18" customHeight="1">
      <c r="A484" s="3" t="s">
        <v>17</v>
      </c>
      <c r="B484" s="6"/>
      <c r="C484" s="6"/>
      <c r="D484" s="6"/>
      <c r="E484" s="6"/>
      <c r="F484" s="6"/>
    </row>
    <row r="485" spans="1:6" ht="18" customHeight="1">
      <c r="A485" s="5" t="s">
        <v>174</v>
      </c>
      <c r="B485" s="1">
        <v>331367</v>
      </c>
      <c r="C485" s="1">
        <v>324463</v>
      </c>
      <c r="D485" s="1">
        <v>352194</v>
      </c>
      <c r="E485" s="1">
        <v>466180</v>
      </c>
      <c r="F485" s="1">
        <v>412500</v>
      </c>
    </row>
    <row r="486" spans="1:6" ht="18" customHeight="1">
      <c r="A486" s="3" t="s">
        <v>50</v>
      </c>
      <c r="B486" s="3">
        <v>331367</v>
      </c>
      <c r="C486" s="3">
        <f>C485</f>
        <v>324463</v>
      </c>
      <c r="D486" s="3">
        <f>D485</f>
        <v>352194</v>
      </c>
      <c r="E486" s="3">
        <f>E485</f>
        <v>466180</v>
      </c>
      <c r="F486" s="3">
        <f>F485</f>
        <v>412500</v>
      </c>
    </row>
    <row r="487" spans="1:6" ht="18" customHeight="1">
      <c r="A487" s="3"/>
      <c r="B487" s="3"/>
      <c r="C487" s="3"/>
      <c r="D487" s="3"/>
      <c r="E487" s="3"/>
      <c r="F487" s="3"/>
    </row>
    <row r="488" spans="1:6" ht="18" customHeight="1">
      <c r="A488" s="3" t="s">
        <v>51</v>
      </c>
      <c r="B488" s="3"/>
      <c r="C488" s="3"/>
      <c r="D488" s="3"/>
      <c r="E488" s="3"/>
      <c r="F488" s="3"/>
    </row>
    <row r="489" spans="1:6" ht="18" customHeight="1">
      <c r="A489" s="5" t="s">
        <v>175</v>
      </c>
      <c r="B489" s="5">
        <v>1054724</v>
      </c>
      <c r="C489" s="5">
        <v>1016563</v>
      </c>
      <c r="D489" s="1">
        <v>1035017</v>
      </c>
      <c r="E489" s="5">
        <v>1125801</v>
      </c>
      <c r="F489" s="5">
        <v>1131138</v>
      </c>
    </row>
    <row r="490" spans="1:6" ht="18" customHeight="1">
      <c r="A490" s="5" t="s">
        <v>176</v>
      </c>
      <c r="B490" s="5">
        <v>116150</v>
      </c>
      <c r="C490" s="5">
        <v>134009</v>
      </c>
      <c r="D490" s="5">
        <v>143043</v>
      </c>
      <c r="E490" s="5">
        <v>315250</v>
      </c>
      <c r="F490" s="5">
        <v>157500</v>
      </c>
    </row>
    <row r="491" spans="1:6" ht="18" customHeight="1">
      <c r="A491" s="3" t="s">
        <v>60</v>
      </c>
      <c r="B491" s="3">
        <v>1170874</v>
      </c>
      <c r="C491" s="3">
        <f>C490+C489</f>
        <v>1150572</v>
      </c>
      <c r="D491" s="3">
        <f>D490+D489</f>
        <v>1178060</v>
      </c>
      <c r="E491" s="3">
        <f>E490+E489</f>
        <v>1441051</v>
      </c>
      <c r="F491" s="3">
        <f>F490+F489</f>
        <v>1288638</v>
      </c>
    </row>
    <row r="492" spans="1:6" ht="18" customHeight="1">
      <c r="A492" s="5"/>
      <c r="B492" s="3"/>
      <c r="C492" s="3"/>
      <c r="D492" s="3"/>
      <c r="E492" s="3"/>
      <c r="F492" s="3"/>
    </row>
    <row r="493" spans="1:6" ht="18" customHeight="1">
      <c r="A493" s="3" t="s">
        <v>61</v>
      </c>
      <c r="B493" s="3">
        <v>2152989</v>
      </c>
      <c r="C493" s="3">
        <f>C482+C486+C491</f>
        <v>2103777</v>
      </c>
      <c r="D493" s="3">
        <f>D482+D486+D491</f>
        <v>2181569</v>
      </c>
      <c r="E493" s="3">
        <f>E482+E486+E491</f>
        <v>2669217</v>
      </c>
      <c r="F493" s="3">
        <f>F482+F486+F491</f>
        <v>2486138</v>
      </c>
    </row>
    <row r="494" spans="1:6" ht="18" customHeight="1">
      <c r="A494" s="5"/>
      <c r="B494" s="6"/>
      <c r="C494" s="6"/>
      <c r="D494" s="6"/>
      <c r="E494" s="6"/>
      <c r="F494" s="6"/>
    </row>
    <row r="495" spans="1:6" ht="18" customHeight="1">
      <c r="A495" s="5"/>
      <c r="B495" s="6"/>
      <c r="C495" s="6"/>
      <c r="D495" s="6"/>
      <c r="E495" s="6"/>
      <c r="F495" s="6"/>
    </row>
    <row r="496" spans="1:6" ht="18" customHeight="1">
      <c r="A496" s="3" t="s">
        <v>62</v>
      </c>
      <c r="B496" s="6"/>
      <c r="C496" s="6"/>
      <c r="D496" s="6"/>
      <c r="E496" s="6"/>
      <c r="F496" s="6"/>
    </row>
    <row r="497" spans="1:6" ht="18" customHeight="1">
      <c r="A497" s="3" t="s">
        <v>177</v>
      </c>
      <c r="B497" s="6"/>
      <c r="C497" s="6"/>
      <c r="D497" s="6"/>
      <c r="E497" s="6"/>
      <c r="F497" s="6"/>
    </row>
    <row r="498" spans="1:6" ht="18" customHeight="1">
      <c r="A498" s="5" t="s">
        <v>151</v>
      </c>
      <c r="B498" s="1">
        <v>627737</v>
      </c>
      <c r="C498" s="1">
        <v>643127</v>
      </c>
      <c r="D498" s="1">
        <v>682667</v>
      </c>
      <c r="E498" s="1">
        <v>801913</v>
      </c>
      <c r="F498" s="1">
        <v>743618</v>
      </c>
    </row>
    <row r="499" spans="1:6" ht="18" customHeight="1">
      <c r="A499" s="3" t="s">
        <v>68</v>
      </c>
      <c r="B499" s="3">
        <v>627737</v>
      </c>
      <c r="C499" s="3">
        <f>C498</f>
        <v>643127</v>
      </c>
      <c r="D499" s="3">
        <f>D498</f>
        <v>682667</v>
      </c>
      <c r="E499" s="3">
        <f>E498</f>
        <v>801913</v>
      </c>
      <c r="F499" s="3">
        <f>F498</f>
        <v>743618</v>
      </c>
    </row>
    <row r="500" spans="1:6" ht="18" customHeight="1">
      <c r="A500" s="5" t="s">
        <v>69</v>
      </c>
      <c r="B500" s="1">
        <v>127122</v>
      </c>
      <c r="C500" s="1">
        <v>135537</v>
      </c>
      <c r="D500" s="1">
        <v>54412</v>
      </c>
      <c r="E500" s="1">
        <v>166283</v>
      </c>
      <c r="F500" s="1">
        <v>176163</v>
      </c>
    </row>
    <row r="501" spans="1:6" ht="18" customHeight="1">
      <c r="A501" s="5" t="s">
        <v>70</v>
      </c>
      <c r="B501" s="1">
        <v>48022</v>
      </c>
      <c r="C501" s="1">
        <v>49374</v>
      </c>
      <c r="D501" s="1">
        <v>49863</v>
      </c>
      <c r="E501" s="1">
        <v>53696</v>
      </c>
      <c r="F501" s="1">
        <v>56887</v>
      </c>
    </row>
    <row r="502" spans="1:6" ht="18" customHeight="1">
      <c r="A502" s="5" t="s">
        <v>71</v>
      </c>
      <c r="B502" s="1">
        <v>178322</v>
      </c>
      <c r="C502" s="1">
        <v>235437</v>
      </c>
      <c r="D502" s="1">
        <v>24032</v>
      </c>
      <c r="E502" s="1">
        <v>262432</v>
      </c>
      <c r="F502" s="1">
        <v>296634</v>
      </c>
    </row>
    <row r="503" spans="1:6" ht="18" customHeight="1">
      <c r="A503" s="3" t="s">
        <v>72</v>
      </c>
      <c r="B503" s="3">
        <v>353466</v>
      </c>
      <c r="C503" s="3">
        <f>SUM(C500:C502)</f>
        <v>420348</v>
      </c>
      <c r="D503" s="3">
        <f>SUM(D500:D502)</f>
        <v>128307</v>
      </c>
      <c r="E503" s="3">
        <f>SUM(E500:E502)</f>
        <v>482411</v>
      </c>
      <c r="F503" s="3">
        <f>SUM(F500:F502)</f>
        <v>529684</v>
      </c>
    </row>
    <row r="504" spans="1:6" ht="18" customHeight="1">
      <c r="A504" s="5" t="s">
        <v>73</v>
      </c>
      <c r="B504" s="1">
        <v>0</v>
      </c>
      <c r="C504" s="1">
        <v>0</v>
      </c>
      <c r="D504" s="1">
        <v>0</v>
      </c>
      <c r="E504" s="1">
        <v>0</v>
      </c>
      <c r="F504" s="1">
        <v>0</v>
      </c>
    </row>
    <row r="505" spans="1:6" ht="18" customHeight="1">
      <c r="A505" s="5" t="s">
        <v>99</v>
      </c>
      <c r="B505" s="1">
        <v>8097</v>
      </c>
      <c r="C505" s="1">
        <v>7418</v>
      </c>
      <c r="D505" s="1">
        <v>3076</v>
      </c>
      <c r="E505" s="1">
        <v>2750</v>
      </c>
      <c r="F505" s="1">
        <v>2750</v>
      </c>
    </row>
    <row r="506" spans="1:6" ht="18" customHeight="1">
      <c r="A506" s="5" t="s">
        <v>74</v>
      </c>
      <c r="B506" s="1">
        <v>2370</v>
      </c>
      <c r="C506" s="1">
        <v>1183</v>
      </c>
      <c r="D506" s="1">
        <v>2270</v>
      </c>
      <c r="E506" s="1">
        <v>2250</v>
      </c>
      <c r="F506" s="1">
        <v>2250</v>
      </c>
    </row>
    <row r="507" spans="1:6" ht="18" customHeight="1">
      <c r="A507" s="5" t="s">
        <v>178</v>
      </c>
      <c r="B507" s="1">
        <v>19024</v>
      </c>
      <c r="C507" s="1">
        <f>4270+14355</f>
        <v>18625</v>
      </c>
      <c r="D507" s="1">
        <f>5458+18119</f>
        <v>23577</v>
      </c>
      <c r="E507" s="1">
        <f>5250+6750</f>
        <v>12000</v>
      </c>
      <c r="F507" s="1">
        <f>6250+6750</f>
        <v>13000</v>
      </c>
    </row>
    <row r="508" spans="1:6" ht="18" customHeight="1">
      <c r="A508" s="5" t="s">
        <v>179</v>
      </c>
      <c r="B508" s="1">
        <v>1137650</v>
      </c>
      <c r="C508" s="1">
        <v>1137325</v>
      </c>
      <c r="D508" s="1">
        <v>1196501</v>
      </c>
      <c r="E508" s="1">
        <v>1362893</v>
      </c>
      <c r="F508" s="1">
        <v>1188836</v>
      </c>
    </row>
    <row r="509" spans="1:6" ht="18" customHeight="1">
      <c r="A509" s="5" t="s">
        <v>180</v>
      </c>
      <c r="B509" s="1">
        <v>0</v>
      </c>
      <c r="C509" s="1">
        <v>3516</v>
      </c>
      <c r="D509" s="1">
        <v>16866</v>
      </c>
      <c r="E509" s="1">
        <v>5000</v>
      </c>
      <c r="F509" s="1">
        <v>5000</v>
      </c>
    </row>
    <row r="510" spans="1:6" ht="18" customHeight="1">
      <c r="A510" s="5" t="s">
        <v>79</v>
      </c>
      <c r="B510" s="1">
        <v>1320</v>
      </c>
      <c r="C510" s="1">
        <v>2767</v>
      </c>
      <c r="D510" s="1">
        <v>700</v>
      </c>
      <c r="E510" s="1">
        <v>0</v>
      </c>
      <c r="F510" s="1">
        <v>1000</v>
      </c>
    </row>
    <row r="511" spans="1:6" ht="18" customHeight="1">
      <c r="A511" s="3" t="s">
        <v>181</v>
      </c>
      <c r="B511" s="3">
        <v>2149664</v>
      </c>
      <c r="C511" s="3">
        <f>SUM(C503:C510)+C499</f>
        <v>2234309</v>
      </c>
      <c r="D511" s="3">
        <f>SUM(D503:D510)+D499</f>
        <v>2053964</v>
      </c>
      <c r="E511" s="3">
        <f>SUM(E503:E510)+E499</f>
        <v>2669217</v>
      </c>
      <c r="F511" s="3">
        <f>SUM(F503:F510)+F499</f>
        <v>2486138</v>
      </c>
    </row>
    <row r="512" spans="1:6" ht="18" customHeight="1">
      <c r="A512" s="5"/>
      <c r="B512" s="6"/>
      <c r="C512" s="6"/>
      <c r="D512" s="6"/>
      <c r="E512" s="6"/>
      <c r="F512" s="6"/>
    </row>
    <row r="513" spans="1:6" ht="18" customHeight="1">
      <c r="A513" s="3" t="s">
        <v>129</v>
      </c>
      <c r="B513" s="3">
        <v>3325</v>
      </c>
      <c r="C513" s="3">
        <f>C493-C511</f>
        <v>-130532</v>
      </c>
      <c r="D513" s="3">
        <f>D493-D511</f>
        <v>127605</v>
      </c>
      <c r="E513" s="3">
        <f>E493-E511</f>
        <v>0</v>
      </c>
      <c r="F513" s="3">
        <f>F493-F511</f>
        <v>0</v>
      </c>
    </row>
    <row r="514" ht="18" customHeight="1">
      <c r="A514" s="3"/>
    </row>
    <row r="515" spans="1:6" ht="18" customHeight="1">
      <c r="A515" s="3" t="s">
        <v>130</v>
      </c>
      <c r="B515" s="3">
        <v>64834</v>
      </c>
      <c r="C515" s="3">
        <v>37194</v>
      </c>
      <c r="D515" s="3">
        <v>-97546</v>
      </c>
      <c r="E515" s="3">
        <f>+D518</f>
        <v>38951</v>
      </c>
      <c r="F515" s="3">
        <f>+E518</f>
        <v>38951</v>
      </c>
    </row>
    <row r="516" spans="1:6" ht="18" customHeight="1">
      <c r="A516" s="3" t="s">
        <v>182</v>
      </c>
      <c r="B516" s="3">
        <v>-30965</v>
      </c>
      <c r="C516" s="3">
        <v>-4208</v>
      </c>
      <c r="D516" s="3">
        <v>8892</v>
      </c>
      <c r="E516" s="3">
        <v>0</v>
      </c>
      <c r="F516" s="3">
        <v>0</v>
      </c>
    </row>
    <row r="517" ht="18" customHeight="1">
      <c r="A517" s="3"/>
    </row>
    <row r="518" spans="1:6" ht="18" customHeight="1">
      <c r="A518" s="3" t="s">
        <v>132</v>
      </c>
      <c r="B518" s="3">
        <v>37194</v>
      </c>
      <c r="C518" s="3">
        <f>C513+C515+C516</f>
        <v>-97546</v>
      </c>
      <c r="D518" s="3">
        <f>D513+D515+D516</f>
        <v>38951</v>
      </c>
      <c r="E518" s="3">
        <f>E513+E515+E516</f>
        <v>38951</v>
      </c>
      <c r="F518" s="3">
        <f>F513+F515+F516</f>
        <v>38951</v>
      </c>
    </row>
    <row r="521" ht="18" customHeight="1">
      <c r="A521" s="2" t="s">
        <v>0</v>
      </c>
    </row>
    <row r="522" ht="18" customHeight="1">
      <c r="A522" s="3" t="s">
        <v>205</v>
      </c>
    </row>
    <row r="523" ht="18" customHeight="1">
      <c r="A523" s="3" t="s">
        <v>206</v>
      </c>
    </row>
    <row r="524" spans="2:6" ht="18" customHeight="1">
      <c r="B524" s="4" t="s">
        <v>191</v>
      </c>
      <c r="C524" s="4" t="s">
        <v>193</v>
      </c>
      <c r="D524" s="4" t="s">
        <v>208</v>
      </c>
      <c r="E524" s="4" t="s">
        <v>207</v>
      </c>
      <c r="F524" s="4" t="s">
        <v>209</v>
      </c>
    </row>
    <row r="525" spans="1:6" ht="18" customHeight="1">
      <c r="A525" s="7" t="s">
        <v>183</v>
      </c>
      <c r="B525" s="4"/>
      <c r="C525" s="4"/>
      <c r="D525" s="4"/>
      <c r="E525" s="4" t="s">
        <v>192</v>
      </c>
      <c r="F525" s="4"/>
    </row>
    <row r="526" ht="18" customHeight="1">
      <c r="A526" s="3" t="s">
        <v>2</v>
      </c>
    </row>
    <row r="527" ht="18" customHeight="1">
      <c r="A527" s="3" t="s">
        <v>3</v>
      </c>
    </row>
    <row r="528" spans="1:6" ht="18" customHeight="1">
      <c r="A528" s="1" t="s">
        <v>134</v>
      </c>
      <c r="B528" s="1">
        <v>1465</v>
      </c>
      <c r="C528" s="1">
        <v>4485</v>
      </c>
      <c r="D528" s="1">
        <v>2068</v>
      </c>
      <c r="E528" s="1">
        <v>1250</v>
      </c>
      <c r="F528" s="1">
        <v>1250</v>
      </c>
    </row>
    <row r="529" spans="1:6" ht="18" customHeight="1">
      <c r="A529" s="1" t="s">
        <v>135</v>
      </c>
      <c r="B529" s="1">
        <v>0</v>
      </c>
      <c r="C529" s="1">
        <v>0</v>
      </c>
      <c r="D529" s="1">
        <v>0</v>
      </c>
      <c r="E529" s="1">
        <v>0</v>
      </c>
      <c r="F529" s="1">
        <v>0</v>
      </c>
    </row>
    <row r="530" spans="1:6" ht="18" customHeight="1">
      <c r="A530" s="1" t="s">
        <v>184</v>
      </c>
      <c r="B530" s="1">
        <v>23375</v>
      </c>
      <c r="C530" s="1">
        <v>18697</v>
      </c>
      <c r="D530" s="1">
        <v>62864</v>
      </c>
      <c r="E530" s="1">
        <v>261250</v>
      </c>
      <c r="F530" s="1">
        <v>261250</v>
      </c>
    </row>
    <row r="531" spans="1:6" ht="18" customHeight="1">
      <c r="A531" s="3" t="s">
        <v>138</v>
      </c>
      <c r="B531" s="3">
        <v>24840</v>
      </c>
      <c r="C531" s="3">
        <f>SUM(C528:C530)</f>
        <v>23182</v>
      </c>
      <c r="D531" s="3">
        <f>SUM(D528:D530)</f>
        <v>64932</v>
      </c>
      <c r="E531" s="3">
        <f>SUM(E528:E530)</f>
        <v>262500</v>
      </c>
      <c r="F531" s="3">
        <f>SUM(F528:F530)</f>
        <v>262500</v>
      </c>
    </row>
    <row r="533" spans="1:6" ht="18" customHeight="1">
      <c r="A533" s="3" t="s">
        <v>62</v>
      </c>
      <c r="B533" s="6"/>
      <c r="C533" s="6"/>
      <c r="D533" s="6"/>
      <c r="E533" s="6"/>
      <c r="F533" s="6"/>
    </row>
    <row r="534" spans="1:6" ht="18" customHeight="1">
      <c r="A534" s="3"/>
      <c r="B534" s="6"/>
      <c r="C534" s="6"/>
      <c r="D534" s="6"/>
      <c r="E534" s="6"/>
      <c r="F534" s="6"/>
    </row>
    <row r="535" spans="1:6" ht="18" customHeight="1">
      <c r="A535" s="1" t="s">
        <v>122</v>
      </c>
      <c r="B535" s="1">
        <v>0</v>
      </c>
      <c r="C535" s="1">
        <v>0</v>
      </c>
      <c r="D535" s="1">
        <v>0</v>
      </c>
      <c r="E535" s="1">
        <v>0</v>
      </c>
      <c r="F535" s="1">
        <v>0</v>
      </c>
    </row>
    <row r="536" spans="1:6" ht="18" customHeight="1">
      <c r="A536" s="1" t="s">
        <v>124</v>
      </c>
      <c r="B536" s="1">
        <v>0</v>
      </c>
      <c r="C536" s="1">
        <v>0</v>
      </c>
      <c r="D536" s="1">
        <v>0</v>
      </c>
      <c r="E536" s="1">
        <v>0</v>
      </c>
      <c r="F536" s="1">
        <v>0</v>
      </c>
    </row>
    <row r="537" spans="1:6" ht="18" customHeight="1">
      <c r="A537" s="1" t="s">
        <v>125</v>
      </c>
      <c r="B537" s="1">
        <v>0</v>
      </c>
      <c r="C537" s="1">
        <v>0</v>
      </c>
      <c r="D537" s="1">
        <v>0</v>
      </c>
      <c r="E537" s="1">
        <v>0</v>
      </c>
      <c r="F537" s="1">
        <v>0</v>
      </c>
    </row>
    <row r="538" spans="1:6" ht="18" customHeight="1">
      <c r="A538" s="1" t="s">
        <v>124</v>
      </c>
      <c r="B538" s="1">
        <v>24578</v>
      </c>
      <c r="C538" s="1">
        <v>18697</v>
      </c>
      <c r="D538" s="1">
        <v>15873</v>
      </c>
      <c r="E538" s="1">
        <v>262500</v>
      </c>
      <c r="F538" s="1">
        <v>262500</v>
      </c>
    </row>
    <row r="539" spans="1:6" ht="18" customHeight="1">
      <c r="A539" s="3" t="s">
        <v>128</v>
      </c>
      <c r="B539" s="3">
        <f>SUM(B535:B538)</f>
        <v>24578</v>
      </c>
      <c r="C539" s="3">
        <f>SUM(C535:C538)</f>
        <v>18697</v>
      </c>
      <c r="D539" s="3">
        <f>SUM(D535:D538)</f>
        <v>15873</v>
      </c>
      <c r="E539" s="3">
        <f>SUM(E535:E538)</f>
        <v>262500</v>
      </c>
      <c r="F539" s="3">
        <f>SUM(F535:F538)</f>
        <v>262500</v>
      </c>
    </row>
    <row r="540" spans="2:6" ht="18" customHeight="1">
      <c r="B540" s="3"/>
      <c r="C540" s="3"/>
      <c r="D540" s="3"/>
      <c r="E540" s="3"/>
      <c r="F540" s="3"/>
    </row>
    <row r="541" spans="1:6" ht="18" customHeight="1">
      <c r="A541" s="3" t="s">
        <v>129</v>
      </c>
      <c r="B541" s="3">
        <f>B531-B539</f>
        <v>262</v>
      </c>
      <c r="C541" s="3">
        <f>C531-C539</f>
        <v>4485</v>
      </c>
      <c r="D541" s="3">
        <f>D531-D539</f>
        <v>49059</v>
      </c>
      <c r="E541" s="3">
        <f>E531-E539</f>
        <v>0</v>
      </c>
      <c r="F541" s="3">
        <f>F531-F539</f>
        <v>0</v>
      </c>
    </row>
    <row r="542" spans="1:6" ht="18" customHeight="1">
      <c r="A542" s="3"/>
      <c r="B542" s="3"/>
      <c r="C542" s="3"/>
      <c r="D542" s="3"/>
      <c r="E542" s="3"/>
      <c r="F542" s="3"/>
    </row>
    <row r="543" spans="1:6" ht="18" customHeight="1">
      <c r="A543" s="3" t="s">
        <v>130</v>
      </c>
      <c r="B543" s="3">
        <f>45122-262</f>
        <v>44860</v>
      </c>
      <c r="C543" s="3">
        <f>+B546</f>
        <v>45122</v>
      </c>
      <c r="D543" s="3">
        <f>+C546</f>
        <v>49607</v>
      </c>
      <c r="E543" s="3">
        <f>+D546</f>
        <v>98666</v>
      </c>
      <c r="F543" s="3">
        <f>+E546</f>
        <v>98666</v>
      </c>
    </row>
    <row r="544" spans="1:6" ht="18" customHeight="1">
      <c r="A544" s="3" t="s">
        <v>131</v>
      </c>
      <c r="B544" s="3">
        <v>0</v>
      </c>
      <c r="C544" s="3">
        <v>0</v>
      </c>
      <c r="D544" s="3">
        <v>0</v>
      </c>
      <c r="E544" s="3">
        <v>0</v>
      </c>
      <c r="F544" s="3">
        <v>0</v>
      </c>
    </row>
    <row r="545" spans="1:6" ht="18" customHeight="1">
      <c r="A545" s="3"/>
      <c r="B545" s="3"/>
      <c r="C545" s="3"/>
      <c r="D545" s="3"/>
      <c r="E545" s="3"/>
      <c r="F545" s="3"/>
    </row>
    <row r="546" spans="1:6" ht="18" customHeight="1">
      <c r="A546" s="3" t="s">
        <v>132</v>
      </c>
      <c r="B546" s="3">
        <f>B541+B543+B544</f>
        <v>45122</v>
      </c>
      <c r="C546" s="3">
        <f>C541+C543+C544</f>
        <v>49607</v>
      </c>
      <c r="D546" s="3">
        <f>D541+D543+D544</f>
        <v>98666</v>
      </c>
      <c r="E546" s="3">
        <f>E541+E543+E544</f>
        <v>98666</v>
      </c>
      <c r="F546" s="3">
        <f>F541+F543+F544</f>
        <v>98666</v>
      </c>
    </row>
    <row r="550" ht="18" customHeight="1">
      <c r="A550" s="2" t="s">
        <v>0</v>
      </c>
    </row>
    <row r="551" ht="18" customHeight="1">
      <c r="A551" s="3" t="s">
        <v>205</v>
      </c>
    </row>
    <row r="552" ht="18" customHeight="1">
      <c r="A552" s="3" t="s">
        <v>206</v>
      </c>
    </row>
    <row r="553" spans="2:6" ht="18" customHeight="1">
      <c r="B553" s="4" t="s">
        <v>191</v>
      </c>
      <c r="C553" s="4" t="s">
        <v>193</v>
      </c>
      <c r="D553" s="4" t="s">
        <v>208</v>
      </c>
      <c r="E553" s="4" t="s">
        <v>207</v>
      </c>
      <c r="F553" s="4" t="s">
        <v>209</v>
      </c>
    </row>
    <row r="554" spans="1:6" ht="18" customHeight="1">
      <c r="A554" s="3" t="s">
        <v>210</v>
      </c>
      <c r="B554" s="4"/>
      <c r="C554" s="4"/>
      <c r="D554" s="4"/>
      <c r="E554" s="4" t="s">
        <v>192</v>
      </c>
      <c r="F554" s="4"/>
    </row>
    <row r="555" ht="18" customHeight="1">
      <c r="A555" s="3" t="s">
        <v>2</v>
      </c>
    </row>
    <row r="556" spans="1:6" ht="18" customHeight="1">
      <c r="A556" s="1" t="s">
        <v>185</v>
      </c>
      <c r="B556" s="1">
        <v>32249495</v>
      </c>
      <c r="C556" s="1">
        <f>C231+C267+C301+C382+C452+C482+C531</f>
        <v>34140220</v>
      </c>
      <c r="D556" s="1">
        <f>D231+D267+D301+D382+D452+D482+D531</f>
        <v>36503801</v>
      </c>
      <c r="E556" s="1">
        <f>E231+E267+E301+E382+E452+E482+E531</f>
        <v>36902113</v>
      </c>
      <c r="F556" s="1">
        <f>F231+F267+F301+F382+F452+F482+F531</f>
        <v>42760522</v>
      </c>
    </row>
    <row r="557" spans="1:6" ht="18" customHeight="1">
      <c r="A557" s="1" t="s">
        <v>186</v>
      </c>
      <c r="B557" s="1">
        <v>19012865</v>
      </c>
      <c r="C557" s="1">
        <f>C232+C486</f>
        <v>20241538</v>
      </c>
      <c r="D557" s="1">
        <f>D232+D486</f>
        <v>22053544</v>
      </c>
      <c r="E557" s="1">
        <f>E232+E486</f>
        <v>23886476</v>
      </c>
      <c r="F557" s="1">
        <f>F232+F486</f>
        <v>24123598</v>
      </c>
    </row>
    <row r="558" spans="1:6" ht="18" customHeight="1">
      <c r="A558" s="1" t="s">
        <v>187</v>
      </c>
      <c r="B558" s="1">
        <v>3098911</v>
      </c>
      <c r="C558" s="1">
        <f>C233+C491</f>
        <v>3292599</v>
      </c>
      <c r="D558" s="1">
        <f>D233+D491</f>
        <v>3582855</v>
      </c>
      <c r="E558" s="1">
        <f>E233+E491</f>
        <v>3987785</v>
      </c>
      <c r="F558" s="1">
        <f>F233+F491</f>
        <v>3507110</v>
      </c>
    </row>
    <row r="559" spans="1:6" ht="18" customHeight="1">
      <c r="A559" s="3" t="s">
        <v>138</v>
      </c>
      <c r="B559" s="3">
        <v>54361271</v>
      </c>
      <c r="C559" s="3">
        <f>SUM(C556:C558)</f>
        <v>57674357</v>
      </c>
      <c r="D559" s="3">
        <f>SUM(D556:D558)</f>
        <v>62140200</v>
      </c>
      <c r="E559" s="3">
        <f>SUM(E556:E558)</f>
        <v>64776374</v>
      </c>
      <c r="F559" s="3">
        <f>SUM(F556:F558)</f>
        <v>70391230</v>
      </c>
    </row>
    <row r="562" spans="1:6" ht="18" customHeight="1">
      <c r="A562" s="1" t="s">
        <v>188</v>
      </c>
      <c r="B562" s="1">
        <v>22904040</v>
      </c>
      <c r="C562" s="1">
        <f>C237+C270+C457+C499</f>
        <v>24786158</v>
      </c>
      <c r="D562" s="1">
        <f>D237+D270+D457+D499</f>
        <v>25903724</v>
      </c>
      <c r="E562" s="1">
        <f>E237+E270+E457+E499</f>
        <v>28390557</v>
      </c>
      <c r="F562" s="1">
        <f>F237+F270+F457+F499</f>
        <v>29103212</v>
      </c>
    </row>
    <row r="563" spans="1:6" ht="18" customHeight="1">
      <c r="A563" s="1" t="s">
        <v>189</v>
      </c>
      <c r="B563" s="1">
        <v>12429413</v>
      </c>
      <c r="C563" s="1">
        <f>C238+C503</f>
        <v>14036924</v>
      </c>
      <c r="D563" s="1">
        <f>D238+D503</f>
        <v>15339620</v>
      </c>
      <c r="E563" s="1">
        <f>E238+E503</f>
        <v>16829197</v>
      </c>
      <c r="F563" s="1">
        <f>F238+F503</f>
        <v>17414481</v>
      </c>
    </row>
    <row r="564" spans="1:6" ht="18" customHeight="1">
      <c r="A564" s="1" t="s">
        <v>122</v>
      </c>
      <c r="B564" s="1">
        <v>1051417</v>
      </c>
      <c r="C564" s="1">
        <f>+C239+C271+C458+C504+C535</f>
        <v>1099867</v>
      </c>
      <c r="D564" s="1">
        <f>+D239+D271+D458+D504+D535</f>
        <v>1203504</v>
      </c>
      <c r="E564" s="1">
        <f>+E239+E271+E458+E504+E535</f>
        <v>981959</v>
      </c>
      <c r="F564" s="1">
        <f>+F239+F271+F458+F504+F535</f>
        <v>1126628</v>
      </c>
    </row>
    <row r="565" spans="1:6" ht="18" customHeight="1">
      <c r="A565" s="1" t="s">
        <v>123</v>
      </c>
      <c r="B565" s="1">
        <v>114310</v>
      </c>
      <c r="C565" s="1">
        <f>C240+C459+C505</f>
        <v>114122</v>
      </c>
      <c r="D565" s="1">
        <f>D240+D459+D505</f>
        <v>104699</v>
      </c>
      <c r="E565" s="1">
        <f>E240+E459+E505</f>
        <v>106743</v>
      </c>
      <c r="F565" s="1">
        <f>F240+F459+F505</f>
        <v>112533</v>
      </c>
    </row>
    <row r="566" spans="1:6" ht="18" customHeight="1">
      <c r="A566" s="1" t="s">
        <v>124</v>
      </c>
      <c r="B566" s="1">
        <v>780985</v>
      </c>
      <c r="C566" s="1">
        <f>C241+C272+C460+C506+C536</f>
        <v>898364</v>
      </c>
      <c r="D566" s="1">
        <f>D241+D272+D460+D506+D536</f>
        <v>863173</v>
      </c>
      <c r="E566" s="1">
        <f>E241+E272+E460+E506+E536</f>
        <v>955523</v>
      </c>
      <c r="F566" s="1">
        <f>F241+F272+F460+F506+F536</f>
        <v>748637</v>
      </c>
    </row>
    <row r="567" spans="1:6" ht="18" customHeight="1">
      <c r="A567" s="1" t="s">
        <v>125</v>
      </c>
      <c r="B567" s="1">
        <v>5001327</v>
      </c>
      <c r="C567" s="1">
        <f>C242+C273+C461+C507+C508+C537</f>
        <v>5450893</v>
      </c>
      <c r="D567" s="1">
        <f>D242+D273+D461+D507+D508+D537</f>
        <v>6012756</v>
      </c>
      <c r="E567" s="1">
        <f>E242+E273+E461+E507+E508+E537</f>
        <v>6586055</v>
      </c>
      <c r="F567" s="1">
        <f>F242+F273+F461+F507+F508+F537</f>
        <v>6479338</v>
      </c>
    </row>
    <row r="568" spans="1:6" ht="18" customHeight="1">
      <c r="A568" s="1" t="s">
        <v>190</v>
      </c>
      <c r="B568" s="1">
        <v>3662095</v>
      </c>
      <c r="C568" s="1">
        <f>C243+C274+C462+C509</f>
        <v>8336294</v>
      </c>
      <c r="D568" s="1">
        <f>D243+D274+D462+D509</f>
        <v>6564180</v>
      </c>
      <c r="E568" s="1">
        <f>E243+E274+E462+E509</f>
        <v>17435551</v>
      </c>
      <c r="F568" s="1">
        <f>F243+F274+F462+F509</f>
        <v>52748263</v>
      </c>
    </row>
    <row r="569" spans="1:6" ht="18" customHeight="1">
      <c r="A569" s="1" t="s">
        <v>127</v>
      </c>
      <c r="B569" s="1">
        <v>6273420</v>
      </c>
      <c r="C569" s="1">
        <f>C244+C388+C463+C510+C538</f>
        <v>6248020</v>
      </c>
      <c r="D569" s="1">
        <f>D244+D388+D463+D510+D538</f>
        <v>6238662</v>
      </c>
      <c r="E569" s="1">
        <f>E244+E388+E463+E510+E538</f>
        <v>6228097</v>
      </c>
      <c r="F569" s="1">
        <f>F244+F388+F463+F510+F538</f>
        <v>10302143</v>
      </c>
    </row>
    <row r="570" spans="1:6" ht="18" customHeight="1">
      <c r="A570" s="3" t="s">
        <v>140</v>
      </c>
      <c r="B570" s="3">
        <v>52217007</v>
      </c>
      <c r="C570" s="3">
        <f>SUM(C562:C569)</f>
        <v>60970642</v>
      </c>
      <c r="D570" s="3">
        <f>SUM(D562:D569)</f>
        <v>62230318</v>
      </c>
      <c r="E570" s="3">
        <f>SUM(E562:E569)</f>
        <v>77513682</v>
      </c>
      <c r="F570" s="3">
        <f>SUM(F562:F569)</f>
        <v>118035235</v>
      </c>
    </row>
    <row r="572" spans="1:6" ht="18" customHeight="1">
      <c r="A572" s="3" t="s">
        <v>129</v>
      </c>
      <c r="B572" s="3">
        <f>B559-B570</f>
        <v>2144264</v>
      </c>
      <c r="C572" s="3">
        <f>C559-C570</f>
        <v>-3296285</v>
      </c>
      <c r="D572" s="3">
        <f>D559-D570</f>
        <v>-90118</v>
      </c>
      <c r="E572" s="3">
        <f>E559-E570</f>
        <v>-12737308</v>
      </c>
      <c r="F572" s="3">
        <f>F559-F570</f>
        <v>-47644005</v>
      </c>
    </row>
    <row r="574" spans="1:6" ht="18" customHeight="1">
      <c r="A574" s="3" t="s">
        <v>130</v>
      </c>
      <c r="B574" s="3">
        <v>13277221</v>
      </c>
      <c r="C574" s="3">
        <v>15403050</v>
      </c>
      <c r="D574" s="3">
        <v>11990567</v>
      </c>
      <c r="E574" s="3">
        <f>+D577</f>
        <v>12188601</v>
      </c>
      <c r="F574" s="3">
        <f>+E577</f>
        <v>62974293</v>
      </c>
    </row>
    <row r="575" spans="1:6" ht="18" customHeight="1">
      <c r="A575" s="3" t="s">
        <v>131</v>
      </c>
      <c r="B575" s="3">
        <f>B250+B280+B516</f>
        <v>-18435</v>
      </c>
      <c r="C575" s="3">
        <f>C250+C280+C516</f>
        <v>-116198</v>
      </c>
      <c r="D575" s="3">
        <f>D250+D280+D516+D393+D469</f>
        <v>288152</v>
      </c>
      <c r="E575" s="3">
        <f>E250+E280+E516+E393+E469</f>
        <v>63523000</v>
      </c>
      <c r="F575" s="3">
        <f>F250+F280+F516+F393+F469</f>
        <v>0</v>
      </c>
    </row>
    <row r="576" ht="18" customHeight="1">
      <c r="A576" s="3"/>
    </row>
    <row r="577" spans="1:6" ht="18" customHeight="1">
      <c r="A577" s="3" t="s">
        <v>132</v>
      </c>
      <c r="B577" s="3">
        <f>B572+B574+B575</f>
        <v>15403050</v>
      </c>
      <c r="C577" s="3">
        <f>C572+C574+C575</f>
        <v>11990567</v>
      </c>
      <c r="D577" s="3">
        <f>D572+D574+D575</f>
        <v>12188601</v>
      </c>
      <c r="E577" s="3">
        <f>E572+E574+E575</f>
        <v>62974293</v>
      </c>
      <c r="F577" s="3">
        <f>F572+F574+F575</f>
        <v>15330288</v>
      </c>
    </row>
  </sheetData>
  <sheetProtection/>
  <printOptions/>
  <pageMargins left="0.5" right="0.5" top="0.5" bottom="0.5" header="0" footer="0"/>
  <pageSetup fitToHeight="0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KJ8975</dc:creator>
  <cp:keywords/>
  <dc:description/>
  <cp:lastModifiedBy>WCSD</cp:lastModifiedBy>
  <cp:lastPrinted>2016-05-24T19:28:18Z</cp:lastPrinted>
  <dcterms:created xsi:type="dcterms:W3CDTF">2015-05-29T21:44:07Z</dcterms:created>
  <dcterms:modified xsi:type="dcterms:W3CDTF">2016-05-27T15:54:37Z</dcterms:modified>
  <cp:category/>
  <cp:version/>
  <cp:contentType/>
  <cp:contentStatus/>
</cp:coreProperties>
</file>